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L:\CURSOS\CONTABILIDADE FACILITADA\PÓS GRADUAÇÃO\"/>
    </mc:Choice>
  </mc:AlternateContent>
  <xr:revisionPtr revIDLastSave="0" documentId="13_ncr:1_{1D38C8BC-22AB-4786-988D-C35B4FF7D291}" xr6:coauthVersionLast="47" xr6:coauthVersionMax="47" xr10:uidLastSave="{00000000-0000-0000-0000-000000000000}"/>
  <bookViews>
    <workbookView xWindow="-103" yWindow="-103" windowWidth="16663" windowHeight="8743" xr2:uid="{585CD76B-CF93-4A8A-9613-7A07A14AF3E3}"/>
  </bookViews>
  <sheets>
    <sheet name="ANEXO I - ICMS ST" sheetId="22" r:id="rId1"/>
    <sheet name="ANEXO II" sheetId="4" r:id="rId2"/>
    <sheet name="ANEXO III" sheetId="8" r:id="rId3"/>
    <sheet name="ANEXO IV" sheetId="9" r:id="rId4"/>
    <sheet name="ANEXO V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0" l="1"/>
  <c r="G10" i="10"/>
  <c r="G5" i="10"/>
  <c r="G11" i="9"/>
  <c r="G6" i="9"/>
  <c r="G10" i="8"/>
  <c r="G5" i="8"/>
  <c r="G11" i="4"/>
  <c r="G6" i="4"/>
  <c r="G11" i="22"/>
  <c r="G6" i="22"/>
  <c r="C35" i="8"/>
  <c r="C36" i="9"/>
  <c r="J36" i="10"/>
  <c r="C35" i="10"/>
  <c r="C44" i="10"/>
  <c r="I44" i="10"/>
  <c r="F44" i="10"/>
  <c r="E44" i="10"/>
  <c r="G29" i="10"/>
  <c r="C45" i="9"/>
  <c r="F45" i="9"/>
  <c r="E45" i="9"/>
  <c r="I37" i="9"/>
  <c r="I44" i="8"/>
  <c r="F44" i="8"/>
  <c r="E44" i="8"/>
  <c r="J36" i="8"/>
  <c r="I19" i="8"/>
  <c r="K19" i="8" s="1"/>
  <c r="M19" i="8" s="1"/>
  <c r="I23" i="8"/>
  <c r="K23" i="8" s="1"/>
  <c r="G24" i="8"/>
  <c r="I39" i="22"/>
  <c r="J33" i="22"/>
  <c r="H33" i="22"/>
  <c r="G33" i="22"/>
  <c r="C47" i="10" l="1"/>
  <c r="C48" i="9"/>
  <c r="I24" i="8"/>
  <c r="I20" i="8"/>
  <c r="K20" i="8" s="1"/>
  <c r="M20" i="8" s="1"/>
  <c r="L20" i="8" l="1"/>
  <c r="L19" i="8"/>
  <c r="K24" i="8"/>
  <c r="G20" i="4" l="1"/>
  <c r="D31" i="4" s="1"/>
  <c r="K31" i="4" s="1"/>
  <c r="K32" i="4" s="1"/>
  <c r="G20" i="22"/>
  <c r="D31" i="22" s="1"/>
  <c r="J31" i="22" s="1"/>
  <c r="J34" i="22" s="1"/>
  <c r="G24" i="9"/>
  <c r="J44" i="10" l="1"/>
  <c r="H44" i="10"/>
  <c r="H45" i="10" s="1"/>
  <c r="G25" i="22"/>
  <c r="G25" i="4"/>
  <c r="G29" i="8"/>
  <c r="G30" i="9"/>
  <c r="I45" i="9"/>
  <c r="H45" i="9"/>
  <c r="G45" i="9"/>
  <c r="I24" i="9"/>
  <c r="I20" i="9"/>
  <c r="J44" i="8"/>
  <c r="H44" i="8"/>
  <c r="G44" i="8"/>
  <c r="J45" i="10" l="1"/>
  <c r="F45" i="10"/>
  <c r="I45" i="10"/>
  <c r="G46" i="9"/>
  <c r="I46" i="9"/>
  <c r="F46" i="9"/>
  <c r="H46" i="9"/>
  <c r="C39" i="22" l="1"/>
  <c r="K37" i="4"/>
  <c r="J37" i="4"/>
  <c r="H37" i="4"/>
  <c r="G37" i="4"/>
  <c r="C37" i="4"/>
  <c r="C44" i="8"/>
  <c r="C47" i="8" s="1"/>
  <c r="J38" i="4" l="1"/>
  <c r="G38" i="4"/>
  <c r="K38" i="4"/>
  <c r="K40" i="4" s="1"/>
  <c r="H38" i="4"/>
  <c r="E37" i="4"/>
  <c r="I37" i="4"/>
  <c r="I38" i="4" s="1"/>
  <c r="F37" i="4"/>
  <c r="F38" i="4" s="1"/>
  <c r="E39" i="22"/>
  <c r="E40" i="22" s="1"/>
  <c r="G39" i="22"/>
  <c r="G40" i="22" s="1"/>
  <c r="F39" i="22"/>
  <c r="F40" i="22" s="1"/>
  <c r="H39" i="22"/>
  <c r="H40" i="22" s="1"/>
  <c r="J39" i="22"/>
  <c r="J40" i="22" s="1"/>
  <c r="J42" i="22" s="1"/>
  <c r="C31" i="22" l="1"/>
  <c r="C42" i="22" s="1"/>
  <c r="E31" i="22" l="1"/>
  <c r="E34" i="22" s="1"/>
  <c r="E42" i="22" s="1"/>
  <c r="G31" i="22"/>
  <c r="G34" i="22" s="1"/>
  <c r="G42" i="22" s="1"/>
  <c r="I31" i="22"/>
  <c r="I34" i="22" s="1"/>
  <c r="F31" i="22"/>
  <c r="F34" i="22" s="1"/>
  <c r="F42" i="22" s="1"/>
  <c r="H31" i="22"/>
  <c r="H34" i="22" s="1"/>
  <c r="H42" i="22" s="1"/>
  <c r="D34" i="22" l="1"/>
  <c r="I40" i="22"/>
  <c r="D40" i="22" s="1"/>
  <c r="D39" i="22"/>
  <c r="D42" i="22" l="1"/>
  <c r="I42" i="22"/>
  <c r="G44" i="10"/>
  <c r="G45" i="10" s="1"/>
  <c r="I23" i="10"/>
  <c r="K23" i="10" s="1"/>
  <c r="G23" i="10"/>
  <c r="I19" i="10"/>
  <c r="I20" i="10" s="1"/>
  <c r="K20" i="10" s="1"/>
  <c r="H17" i="10"/>
  <c r="G25" i="9"/>
  <c r="I25" i="9"/>
  <c r="K25" i="9" s="1"/>
  <c r="I21" i="9"/>
  <c r="K21" i="9" s="1"/>
  <c r="G23" i="8"/>
  <c r="H17" i="8"/>
  <c r="I24" i="10" l="1"/>
  <c r="L20" i="10" s="1"/>
  <c r="G45" i="8"/>
  <c r="I45" i="8"/>
  <c r="J45" i="8"/>
  <c r="K20" i="9"/>
  <c r="K24" i="9"/>
  <c r="M20" i="10"/>
  <c r="K24" i="10"/>
  <c r="K19" i="10"/>
  <c r="M21" i="9"/>
  <c r="L21" i="9"/>
  <c r="E46" i="9"/>
  <c r="F45" i="8"/>
  <c r="H45" i="8"/>
  <c r="J38" i="10" l="1"/>
  <c r="L20" i="9"/>
  <c r="D44" i="10"/>
  <c r="D45" i="9"/>
  <c r="M20" i="9"/>
  <c r="E45" i="10"/>
  <c r="D45" i="10" s="1"/>
  <c r="M19" i="10"/>
  <c r="L19" i="10"/>
  <c r="C34" i="10"/>
  <c r="K38" i="10"/>
  <c r="D46" i="9"/>
  <c r="E45" i="8"/>
  <c r="D44" i="8"/>
  <c r="D45" i="8" l="1"/>
  <c r="J39" i="9"/>
  <c r="C35" i="9"/>
  <c r="J37" i="9" s="1"/>
  <c r="I39" i="9"/>
  <c r="K38" i="8"/>
  <c r="L38" i="10"/>
  <c r="J39" i="10"/>
  <c r="J47" i="10" s="1"/>
  <c r="K36" i="10"/>
  <c r="J38" i="8" l="1"/>
  <c r="L38" i="8" s="1"/>
  <c r="K36" i="8"/>
  <c r="K39" i="9"/>
  <c r="N39" i="9" s="1"/>
  <c r="N40" i="9" s="1"/>
  <c r="I40" i="9"/>
  <c r="I48" i="9" s="1"/>
  <c r="M38" i="10"/>
  <c r="M39" i="10" s="1"/>
  <c r="G35" i="10"/>
  <c r="G39" i="10" s="1"/>
  <c r="G47" i="10" s="1"/>
  <c r="H35" i="10"/>
  <c r="H39" i="10" s="1"/>
  <c r="H47" i="10" s="1"/>
  <c r="I35" i="10"/>
  <c r="I39" i="10" s="1"/>
  <c r="I47" i="10" s="1"/>
  <c r="E35" i="10"/>
  <c r="F35" i="10"/>
  <c r="F39" i="10" s="1"/>
  <c r="F47" i="10" s="1"/>
  <c r="H36" i="9"/>
  <c r="H40" i="9" s="1"/>
  <c r="H48" i="9" s="1"/>
  <c r="P38" i="10"/>
  <c r="P39" i="10" s="1"/>
  <c r="O38" i="10"/>
  <c r="O39" i="10" s="1"/>
  <c r="N38" i="10"/>
  <c r="N39" i="10" s="1"/>
  <c r="Q38" i="10"/>
  <c r="Q39" i="10" s="1"/>
  <c r="E39" i="10" l="1"/>
  <c r="E47" i="10" s="1"/>
  <c r="D35" i="10"/>
  <c r="M39" i="9"/>
  <c r="M40" i="9" s="1"/>
  <c r="G36" i="9"/>
  <c r="G40" i="9" s="1"/>
  <c r="G48" i="9" s="1"/>
  <c r="L39" i="9"/>
  <c r="L40" i="9" s="1"/>
  <c r="N38" i="8"/>
  <c r="N39" i="8" s="1"/>
  <c r="P38" i="8"/>
  <c r="P39" i="8" s="1"/>
  <c r="Q38" i="8"/>
  <c r="Q39" i="8" s="1"/>
  <c r="M38" i="8"/>
  <c r="M39" i="8" s="1"/>
  <c r="O38" i="8"/>
  <c r="O39" i="8" s="1"/>
  <c r="J39" i="8"/>
  <c r="J47" i="8" s="1"/>
  <c r="O39" i="9"/>
  <c r="O40" i="9" s="1"/>
  <c r="F36" i="9"/>
  <c r="F40" i="9" s="1"/>
  <c r="F48" i="9" s="1"/>
  <c r="E36" i="9"/>
  <c r="D39" i="10"/>
  <c r="D47" i="10" s="1"/>
  <c r="E40" i="9" l="1"/>
  <c r="E48" i="9" s="1"/>
  <c r="D36" i="9"/>
  <c r="D40" i="9"/>
  <c r="D48" i="9" s="1"/>
  <c r="C31" i="4" l="1"/>
  <c r="C40" i="4" s="1"/>
  <c r="E38" i="4"/>
  <c r="E31" i="4" l="1"/>
  <c r="E32" i="4" s="1"/>
  <c r="E40" i="4" s="1"/>
  <c r="F31" i="4"/>
  <c r="F32" i="4" s="1"/>
  <c r="F40" i="4" s="1"/>
  <c r="I31" i="4"/>
  <c r="I32" i="4" s="1"/>
  <c r="I40" i="4" s="1"/>
  <c r="G31" i="4"/>
  <c r="G32" i="4" s="1"/>
  <c r="G40" i="4" s="1"/>
  <c r="H31" i="4"/>
  <c r="H32" i="4" s="1"/>
  <c r="H40" i="4" s="1"/>
  <c r="J31" i="4"/>
  <c r="J32" i="4" s="1"/>
  <c r="J40" i="4" s="1"/>
  <c r="D38" i="4"/>
  <c r="D37" i="4"/>
  <c r="D32" i="4" l="1"/>
  <c r="D40" i="4" s="1"/>
  <c r="F35" i="8" l="1"/>
  <c r="F39" i="8" s="1"/>
  <c r="F47" i="8" s="1"/>
  <c r="E35" i="8"/>
  <c r="G35" i="8"/>
  <c r="G39" i="8" s="1"/>
  <c r="G47" i="8" s="1"/>
  <c r="I35" i="8"/>
  <c r="I39" i="8" s="1"/>
  <c r="I47" i="8" s="1"/>
  <c r="H35" i="8"/>
  <c r="H39" i="8" s="1"/>
  <c r="H47" i="8" s="1"/>
  <c r="D35" i="8" l="1"/>
  <c r="E39" i="8"/>
  <c r="D39" i="8" l="1"/>
  <c r="D47" i="8" s="1"/>
  <c r="E47" i="8"/>
</calcChain>
</file>

<file path=xl/sharedStrings.xml><?xml version="1.0" encoding="utf-8"?>
<sst xmlns="http://schemas.openxmlformats.org/spreadsheetml/2006/main" count="375" uniqueCount="76">
  <si>
    <t>ANEXO I</t>
  </si>
  <si>
    <t>ALÍQUOTAS E PARTILHA DO SIMPLES NACIONAL - COMÉRCIO</t>
  </si>
  <si>
    <t>Receita Bruta em 12 Meses (em R$)</t>
  </si>
  <si>
    <t>Alíquota</t>
  </si>
  <si>
    <t>Valor a Deduzir (em R$)</t>
  </si>
  <si>
    <t>Faixas</t>
  </si>
  <si>
    <t>Percentual de Repartição dos Tributos</t>
  </si>
  <si>
    <t>1ª Faixa</t>
  </si>
  <si>
    <t>IRPJ</t>
  </si>
  <si>
    <t>CSLL</t>
  </si>
  <si>
    <t>Cofins</t>
  </si>
  <si>
    <t>PIS/Pasep</t>
  </si>
  <si>
    <t>CPP</t>
  </si>
  <si>
    <t>ICMS</t>
  </si>
  <si>
    <t>2ª Faixa</t>
  </si>
  <si>
    <t>3ª Faixa</t>
  </si>
  <si>
    <t>4ª Faixa</t>
  </si>
  <si>
    <t>5ª Faixa</t>
  </si>
  <si>
    <t>6ª Faixa</t>
  </si>
  <si>
    <t>(*) Com relação ao ICMS, quando o valor do RBT12 for superior ao limite da 5ª faixa, para a parcela que não ultrapassar o sublimite, o percentual efetivo desse imposto será calculado conforme segue: (RBT12 x 14,30%) - R$ 87.300,00]/RBT12} x 33,5%.</t>
  </si>
  <si>
    <t>PIS/ COFINS</t>
  </si>
  <si>
    <t>Informe a receita acumulada dos 12 meses anteriores no mercado interno</t>
  </si>
  <si>
    <t>N</t>
  </si>
  <si>
    <t>Parcela de receita sujeita a Incidência Monofásica e/ou Substituição Tributária</t>
  </si>
  <si>
    <t>Informe a receita acumulada no mercado interno do ano-calendário</t>
  </si>
  <si>
    <t>Informe a receita do mês no mercado interno</t>
  </si>
  <si>
    <t>Alíquota efetiva</t>
  </si>
  <si>
    <t>%</t>
  </si>
  <si>
    <t>Valor</t>
  </si>
  <si>
    <t>Informe a receita acumulada dos 12 meses anteriores no mercado externo</t>
  </si>
  <si>
    <t>Substituição Tributária e/ou Antecipação com encerramento de tributação</t>
  </si>
  <si>
    <t>Informe a receita acumulada no mercado externo do ano-calendário</t>
  </si>
  <si>
    <t>Informe a receita do mês no mercado externo</t>
  </si>
  <si>
    <t>SUBLIMITE</t>
  </si>
  <si>
    <t>S</t>
  </si>
  <si>
    <t>MERCADO INTERNO</t>
  </si>
  <si>
    <t>FATURAMENTO</t>
  </si>
  <si>
    <t>TOTAL</t>
  </si>
  <si>
    <t>COFINS</t>
  </si>
  <si>
    <t>PIS/ PASEP</t>
  </si>
  <si>
    <t>Receita do mês, até o limite, no mercado interno</t>
  </si>
  <si>
    <t>Parcela da receita até o sublimite</t>
  </si>
  <si>
    <t>Alíquota até sublimite</t>
  </si>
  <si>
    <t>MERCADO EXTERNO</t>
  </si>
  <si>
    <t>Receita do mês, até o limite, no mercado externo</t>
  </si>
  <si>
    <t>ANEXO II</t>
  </si>
  <si>
    <t>ALÍQUOTAS E PARTILHA DO SIMPLES NACIONAL - INDÚSTRIA</t>
  </si>
  <si>
    <t>IPI</t>
  </si>
  <si>
    <t>Redistribuição do ISS excedente</t>
  </si>
  <si>
    <t>ANEXO III</t>
  </si>
  <si>
    <t>ALÍQUOTAS E PARTILHA DO SIMPLES NACIONAL - SERVIÇOS</t>
  </si>
  <si>
    <t>ISS</t>
  </si>
  <si>
    <t>(*) Quando o percentual efetivo do ISS for superior a 5%, o resultado limitar-se-á a 5%, transferindo-se a diferença para os tributos federais, de forma proporcional aos percentuais abaixo.</t>
  </si>
  <si>
    <t>SUB</t>
  </si>
  <si>
    <t>NAC PROP ATÉ</t>
  </si>
  <si>
    <t>NAC PROP AC</t>
  </si>
  <si>
    <t>ACIMA</t>
  </si>
  <si>
    <t>ATÉ</t>
  </si>
  <si>
    <t>Esse percentual também ficará limitado a 5%, redistribuindo-se eventual diferença para os tributos federais na forma acima prevista, de acordo com os seguintes percentuais:</t>
  </si>
  <si>
    <t>PIS/PSEP</t>
  </si>
  <si>
    <t>NAC</t>
  </si>
  <si>
    <t>% DA RECEITA DO MÊS</t>
  </si>
  <si>
    <t>ALÍQ BRUTA</t>
  </si>
  <si>
    <t>EXCEDENTE</t>
  </si>
  <si>
    <t>PIS</t>
  </si>
  <si>
    <t>Quando o valor do RBT12 for superior ao limite da 5ª faixa, para a parcela que não ultrapassar o sublimite, o percentual efetivo do ISS será calculado conforme segue: (RBT12 x 22%) - R$ 183.780,00]/RBT12} x 40%.</t>
  </si>
  <si>
    <t>ANEXO IV</t>
  </si>
  <si>
    <t>ANEXO V</t>
  </si>
  <si>
    <t>Parcela da receita sujeita a COFINS</t>
  </si>
  <si>
    <t>Parcela da receita sujeita ao PIS</t>
  </si>
  <si>
    <t>Parcela da receita sujeita a Retenção</t>
  </si>
  <si>
    <t>Parcela da receita sujeita a Isenção</t>
  </si>
  <si>
    <t>Parcela da receita sujeita ao ICMS</t>
  </si>
  <si>
    <t>VLR DA RECEITA</t>
  </si>
  <si>
    <t>Folha de salários dos últimos 12 meses</t>
  </si>
  <si>
    <t>Fator "r"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</si>
</sst>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0.00000%"/>
    <numFmt numFmtId="166" formatCode="_-* #,##0.00000000000_-;\-* #,##0.00000000000_-;_-* &quot;-&quot;?????????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5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 applyAlignment="1">
      <alignment horizontal="center" vertical="center" wrapText="1"/>
    </xf>
    <xf numFmtId="10" fontId="3" fillId="0" borderId="0" xfId="0" applyNumberFormat="1" applyFont="1"/>
    <xf numFmtId="0" fontId="3" fillId="0" borderId="7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10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10" fontId="3" fillId="0" borderId="9" xfId="0" applyNumberFormat="1" applyFont="1" applyBorder="1" applyAlignment="1">
      <alignment horizontal="center" vertical="center" wrapText="1"/>
    </xf>
    <xf numFmtId="2" fontId="3" fillId="0" borderId="0" xfId="0" applyNumberFormat="1" applyFont="1"/>
    <xf numFmtId="0" fontId="3" fillId="0" borderId="11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10" fontId="3" fillId="0" borderId="12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horizontal="right"/>
    </xf>
    <xf numFmtId="164" fontId="3" fillId="0" borderId="14" xfId="0" applyNumberFormat="1" applyFont="1" applyBorder="1"/>
    <xf numFmtId="164" fontId="3" fillId="0" borderId="0" xfId="0" applyNumberFormat="1" applyFont="1" applyAlignment="1">
      <alignment horizontal="left"/>
    </xf>
    <xf numFmtId="43" fontId="3" fillId="0" borderId="0" xfId="1" applyFont="1"/>
    <xf numFmtId="10" fontId="3" fillId="0" borderId="14" xfId="3" applyNumberFormat="1" applyFont="1" applyBorder="1" applyAlignment="1">
      <alignment horizontal="center"/>
    </xf>
    <xf numFmtId="10" fontId="3" fillId="0" borderId="0" xfId="3" applyNumberFormat="1" applyFont="1"/>
    <xf numFmtId="10" fontId="3" fillId="0" borderId="14" xfId="0" applyNumberFormat="1" applyFont="1" applyBorder="1"/>
    <xf numFmtId="0" fontId="3" fillId="0" borderId="15" xfId="0" applyFont="1" applyBorder="1"/>
    <xf numFmtId="43" fontId="3" fillId="0" borderId="0" xfId="1" applyFont="1" applyFill="1"/>
    <xf numFmtId="164" fontId="3" fillId="0" borderId="16" xfId="3" applyNumberFormat="1" applyFont="1" applyBorder="1" applyAlignment="1">
      <alignment horizontal="center"/>
    </xf>
    <xf numFmtId="43" fontId="3" fillId="0" borderId="0" xfId="0" applyNumberFormat="1" applyFont="1"/>
    <xf numFmtId="8" fontId="4" fillId="0" borderId="0" xfId="0" applyNumberFormat="1" applyFont="1"/>
    <xf numFmtId="10" fontId="3" fillId="0" borderId="0" xfId="3" applyNumberFormat="1" applyFont="1" applyBorder="1"/>
    <xf numFmtId="164" fontId="3" fillId="0" borderId="0" xfId="0" applyNumberFormat="1" applyFont="1"/>
    <xf numFmtId="0" fontId="3" fillId="0" borderId="16" xfId="0" applyFont="1" applyBorder="1" applyAlignment="1">
      <alignment wrapText="1"/>
    </xf>
    <xf numFmtId="43" fontId="3" fillId="0" borderId="16" xfId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165" fontId="3" fillId="0" borderId="0" xfId="0" applyNumberFormat="1" applyFont="1" applyAlignment="1">
      <alignment horizontal="center"/>
    </xf>
    <xf numFmtId="165" fontId="3" fillId="0" borderId="16" xfId="0" applyNumberFormat="1" applyFont="1" applyBorder="1" applyAlignment="1">
      <alignment horizontal="center"/>
    </xf>
    <xf numFmtId="165" fontId="3" fillId="0" borderId="16" xfId="3" applyNumberFormat="1" applyFont="1" applyBorder="1" applyAlignment="1">
      <alignment horizontal="center"/>
    </xf>
    <xf numFmtId="165" fontId="3" fillId="0" borderId="0" xfId="3" applyNumberFormat="1" applyFont="1" applyBorder="1" applyAlignment="1">
      <alignment horizontal="center"/>
    </xf>
    <xf numFmtId="10" fontId="3" fillId="0" borderId="23" xfId="0" applyNumberFormat="1" applyFont="1" applyBorder="1" applyAlignment="1">
      <alignment horizontal="center" vertical="center" wrapText="1"/>
    </xf>
    <xf numFmtId="10" fontId="3" fillId="0" borderId="25" xfId="0" applyNumberFormat="1" applyFont="1" applyBorder="1" applyAlignment="1">
      <alignment horizontal="center" vertical="center" wrapText="1"/>
    </xf>
    <xf numFmtId="10" fontId="3" fillId="0" borderId="26" xfId="0" applyNumberFormat="1" applyFont="1" applyBorder="1" applyAlignment="1">
      <alignment horizontal="center" vertical="center" wrapText="1"/>
    </xf>
    <xf numFmtId="10" fontId="3" fillId="0" borderId="10" xfId="0" applyNumberFormat="1" applyFont="1" applyBorder="1" applyAlignment="1">
      <alignment horizontal="center" vertical="center" wrapText="1"/>
    </xf>
    <xf numFmtId="10" fontId="3" fillId="0" borderId="27" xfId="0" applyNumberFormat="1" applyFont="1" applyBorder="1" applyAlignment="1">
      <alignment horizontal="center" vertical="center" wrapText="1"/>
    </xf>
    <xf numFmtId="9" fontId="3" fillId="0" borderId="27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0" fontId="2" fillId="0" borderId="0" xfId="0" applyNumberFormat="1" applyFont="1" applyAlignment="1">
      <alignment horizontal="left" vertical="center" wrapText="1"/>
    </xf>
    <xf numFmtId="10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10" fontId="3" fillId="0" borderId="0" xfId="3" applyNumberFormat="1" applyFont="1" applyAlignment="1">
      <alignment horizontal="right"/>
    </xf>
    <xf numFmtId="0" fontId="3" fillId="0" borderId="0" xfId="0" applyFont="1" applyAlignment="1">
      <alignment horizontal="center"/>
    </xf>
    <xf numFmtId="10" fontId="2" fillId="0" borderId="16" xfId="3" applyNumberFormat="1" applyFont="1" applyBorder="1" applyAlignment="1">
      <alignment horizontal="center" wrapText="1"/>
    </xf>
    <xf numFmtId="1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0" fontId="3" fillId="0" borderId="0" xfId="0" applyNumberFormat="1" applyFont="1" applyAlignment="1">
      <alignment horizontal="center"/>
    </xf>
    <xf numFmtId="10" fontId="3" fillId="0" borderId="0" xfId="3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0" fontId="2" fillId="0" borderId="0" xfId="3" applyNumberFormat="1" applyFont="1"/>
    <xf numFmtId="166" fontId="3" fillId="0" borderId="0" xfId="0" applyNumberFormat="1" applyFont="1"/>
    <xf numFmtId="10" fontId="3" fillId="0" borderId="13" xfId="0" applyNumberFormat="1" applyFont="1" applyBorder="1" applyAlignment="1">
      <alignment horizontal="center" vertical="center" wrapText="1"/>
    </xf>
    <xf numFmtId="10" fontId="3" fillId="0" borderId="36" xfId="0" applyNumberFormat="1" applyFont="1" applyBorder="1" applyAlignment="1">
      <alignment horizontal="center" vertical="center" wrapText="1"/>
    </xf>
    <xf numFmtId="43" fontId="3" fillId="0" borderId="13" xfId="1" applyFont="1" applyBorder="1" applyAlignment="1">
      <alignment horizontal="center" vertical="center" wrapText="1"/>
    </xf>
    <xf numFmtId="165" fontId="3" fillId="0" borderId="0" xfId="0" applyNumberFormat="1" applyFont="1"/>
    <xf numFmtId="43" fontId="7" fillId="0" borderId="0" xfId="1" applyFont="1"/>
    <xf numFmtId="9" fontId="3" fillId="0" borderId="0" xfId="3" applyFont="1"/>
    <xf numFmtId="43" fontId="3" fillId="0" borderId="16" xfId="1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 vertical="center"/>
    </xf>
    <xf numFmtId="165" fontId="3" fillId="0" borderId="16" xfId="3" applyNumberFormat="1" applyFont="1" applyBorder="1" applyAlignment="1">
      <alignment horizontal="center" vertical="center"/>
    </xf>
    <xf numFmtId="165" fontId="3" fillId="0" borderId="0" xfId="3" applyNumberFormat="1" applyFont="1"/>
    <xf numFmtId="165" fontId="3" fillId="0" borderId="17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43" fontId="3" fillId="0" borderId="17" xfId="1" applyFont="1" applyBorder="1" applyAlignment="1">
      <alignment horizontal="center" vertical="center"/>
    </xf>
    <xf numFmtId="165" fontId="3" fillId="0" borderId="17" xfId="3" applyNumberFormat="1" applyFont="1" applyBorder="1" applyAlignment="1">
      <alignment horizontal="center" vertical="center"/>
    </xf>
    <xf numFmtId="165" fontId="3" fillId="0" borderId="17" xfId="3" applyNumberFormat="1" applyFont="1" applyFill="1" applyBorder="1" applyAlignment="1">
      <alignment horizontal="center" vertical="center"/>
    </xf>
    <xf numFmtId="8" fontId="9" fillId="2" borderId="16" xfId="0" applyNumberFormat="1" applyFont="1" applyFill="1" applyBorder="1"/>
    <xf numFmtId="44" fontId="2" fillId="2" borderId="16" xfId="2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0" fontId="2" fillId="2" borderId="0" xfId="0" applyFont="1" applyFill="1"/>
    <xf numFmtId="43" fontId="2" fillId="2" borderId="0" xfId="1" applyFont="1" applyFill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0" xfId="0" applyFont="1" applyFill="1"/>
    <xf numFmtId="43" fontId="3" fillId="2" borderId="0" xfId="1" applyFont="1" applyFill="1"/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/>
    </xf>
    <xf numFmtId="10" fontId="2" fillId="2" borderId="16" xfId="3" applyNumberFormat="1" applyFont="1" applyFill="1" applyBorder="1" applyAlignment="1">
      <alignment horizontal="center" wrapText="1"/>
    </xf>
    <xf numFmtId="8" fontId="4" fillId="2" borderId="16" xfId="0" applyNumberFormat="1" applyFont="1" applyFill="1" applyBorder="1"/>
    <xf numFmtId="10" fontId="2" fillId="2" borderId="16" xfId="3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43" fontId="2" fillId="0" borderId="0" xfId="1" applyFont="1" applyFill="1"/>
    <xf numFmtId="164" fontId="2" fillId="0" borderId="16" xfId="3" applyNumberFormat="1" applyFont="1" applyFill="1" applyBorder="1" applyAlignment="1">
      <alignment horizontal="center" vertical="center" wrapText="1"/>
    </xf>
    <xf numFmtId="164" fontId="2" fillId="0" borderId="16" xfId="3" applyNumberFormat="1" applyFont="1" applyBorder="1" applyAlignment="1">
      <alignment horizontal="center"/>
    </xf>
    <xf numFmtId="0" fontId="2" fillId="2" borderId="28" xfId="0" applyFont="1" applyFill="1" applyBorder="1" applyAlignment="1">
      <alignment horizontal="center" vertical="center" wrapText="1"/>
    </xf>
    <xf numFmtId="10" fontId="2" fillId="0" borderId="0" xfId="3" applyNumberFormat="1" applyFont="1" applyFill="1" applyBorder="1" applyAlignment="1">
      <alignment horizontal="center"/>
    </xf>
    <xf numFmtId="43" fontId="2" fillId="0" borderId="0" xfId="0" applyNumberFormat="1" applyFont="1"/>
    <xf numFmtId="10" fontId="2" fillId="2" borderId="0" xfId="0" applyNumberFormat="1" applyFont="1" applyFill="1" applyAlignment="1">
      <alignment horizontal="center"/>
    </xf>
    <xf numFmtId="10" fontId="2" fillId="2" borderId="16" xfId="3" applyNumberFormat="1" applyFont="1" applyFill="1" applyBorder="1" applyAlignment="1">
      <alignment horizontal="center"/>
    </xf>
    <xf numFmtId="43" fontId="2" fillId="2" borderId="0" xfId="0" applyNumberFormat="1" applyFont="1" applyFill="1"/>
    <xf numFmtId="0" fontId="3" fillId="0" borderId="16" xfId="0" applyFont="1" applyBorder="1" applyAlignment="1">
      <alignment horizontal="center" vertical="center" wrapText="1"/>
    </xf>
    <xf numFmtId="10" fontId="3" fillId="0" borderId="0" xfId="3" applyNumberFormat="1" applyFont="1" applyFill="1" applyAlignment="1">
      <alignment horizontal="center"/>
    </xf>
    <xf numFmtId="10" fontId="0" fillId="0" borderId="0" xfId="3" applyNumberFormat="1" applyFont="1" applyAlignment="1">
      <alignment horizontal="left"/>
    </xf>
    <xf numFmtId="10" fontId="2" fillId="0" borderId="14" xfId="3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5" fontId="3" fillId="0" borderId="17" xfId="3" applyNumberFormat="1" applyFont="1" applyFill="1" applyBorder="1" applyAlignment="1">
      <alignment horizontal="center" vertical="center"/>
    </xf>
    <xf numFmtId="165" fontId="3" fillId="0" borderId="18" xfId="3" applyNumberFormat="1" applyFont="1" applyFill="1" applyBorder="1" applyAlignment="1">
      <alignment horizontal="center" vertical="center"/>
    </xf>
    <xf numFmtId="165" fontId="3" fillId="0" borderId="19" xfId="3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43" fontId="3" fillId="0" borderId="17" xfId="1" applyFont="1" applyBorder="1" applyAlignment="1">
      <alignment horizontal="center" vertical="center"/>
    </xf>
    <xf numFmtId="43" fontId="3" fillId="0" borderId="18" xfId="1" applyFont="1" applyBorder="1" applyAlignment="1">
      <alignment horizontal="center" vertical="center"/>
    </xf>
    <xf numFmtId="43" fontId="3" fillId="0" borderId="19" xfId="1" applyFont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165" fontId="3" fillId="0" borderId="18" xfId="0" applyNumberFormat="1" applyFont="1" applyBorder="1" applyAlignment="1">
      <alignment horizontal="center" vertical="center"/>
    </xf>
    <xf numFmtId="165" fontId="3" fillId="0" borderId="19" xfId="0" applyNumberFormat="1" applyFont="1" applyBorder="1" applyAlignment="1">
      <alignment horizontal="center" vertical="center"/>
    </xf>
    <xf numFmtId="165" fontId="3" fillId="0" borderId="17" xfId="3" applyNumberFormat="1" applyFont="1" applyBorder="1" applyAlignment="1">
      <alignment horizontal="center" vertical="center"/>
    </xf>
    <xf numFmtId="165" fontId="3" fillId="0" borderId="18" xfId="3" applyNumberFormat="1" applyFont="1" applyBorder="1" applyAlignment="1">
      <alignment horizontal="center" vertical="center"/>
    </xf>
    <xf numFmtId="165" fontId="3" fillId="0" borderId="19" xfId="3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66FF66"/>
      <color rgb="FF666699"/>
      <color rgb="FFFF3399"/>
      <color rgb="FFFFCCFF"/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5B36-57E1-4B7C-BAF3-EE83A545C10A}">
  <sheetPr>
    <tabColor rgb="FF00B050"/>
  </sheetPr>
  <dimension ref="B2:R43"/>
  <sheetViews>
    <sheetView showGridLines="0" tabSelected="1" zoomScaleNormal="100" workbookViewId="0"/>
  </sheetViews>
  <sheetFormatPr defaultColWidth="9.07421875" defaultRowHeight="11.6" x14ac:dyDescent="0.3"/>
  <cols>
    <col min="1" max="1" width="2.69140625" style="1" customWidth="1"/>
    <col min="2" max="2" width="21.4609375" style="1" bestFit="1" customWidth="1"/>
    <col min="3" max="3" width="18.53515625" style="1" customWidth="1"/>
    <col min="4" max="4" width="14.69140625" style="1" customWidth="1"/>
    <col min="5" max="5" width="18.53515625" style="1" customWidth="1"/>
    <col min="6" max="6" width="15" style="1" customWidth="1"/>
    <col min="7" max="7" width="17" style="1" customWidth="1"/>
    <col min="8" max="8" width="17.69140625" style="1" customWidth="1"/>
    <col min="9" max="9" width="14.69140625" style="1" customWidth="1"/>
    <col min="10" max="10" width="26.69140625" style="1" customWidth="1"/>
    <col min="11" max="11" width="13.07421875" style="1" bestFit="1" customWidth="1"/>
    <col min="12" max="12" width="11.84375" style="1" customWidth="1"/>
    <col min="13" max="13" width="11.69140625" style="1" customWidth="1"/>
    <col min="14" max="14" width="9.3046875" style="1" bestFit="1" customWidth="1"/>
    <col min="15" max="15" width="9.07421875" style="1"/>
    <col min="16" max="16" width="24.4609375" style="1" customWidth="1"/>
    <col min="17" max="17" width="15.53515625" style="1" customWidth="1"/>
    <col min="18" max="18" width="14.84375" style="1" customWidth="1"/>
    <col min="19" max="19" width="13" style="1" customWidth="1"/>
    <col min="20" max="16384" width="9.07421875" style="1"/>
  </cols>
  <sheetData>
    <row r="2" spans="2:18" x14ac:dyDescent="0.3">
      <c r="B2" s="113" t="s">
        <v>0</v>
      </c>
      <c r="C2" s="113"/>
      <c r="D2" s="113"/>
      <c r="E2" s="113"/>
    </row>
    <row r="3" spans="2:18" x14ac:dyDescent="0.3">
      <c r="B3" s="113" t="s">
        <v>1</v>
      </c>
      <c r="C3" s="113"/>
      <c r="D3" s="113"/>
      <c r="E3" s="113"/>
    </row>
    <row r="4" spans="2:18" ht="12" thickBot="1" x14ac:dyDescent="0.35">
      <c r="B4" s="3"/>
      <c r="N4" s="2"/>
    </row>
    <row r="5" spans="2:18" ht="23.6" thickBot="1" x14ac:dyDescent="0.35">
      <c r="B5" s="114" t="s">
        <v>2</v>
      </c>
      <c r="C5" s="115"/>
      <c r="D5" s="116"/>
      <c r="E5" s="87" t="s">
        <v>3</v>
      </c>
      <c r="F5" s="88" t="s">
        <v>4</v>
      </c>
      <c r="H5" s="117" t="s">
        <v>5</v>
      </c>
      <c r="I5" s="114" t="s">
        <v>6</v>
      </c>
      <c r="J5" s="115"/>
      <c r="K5" s="115"/>
      <c r="L5" s="115"/>
      <c r="M5" s="115"/>
      <c r="N5" s="116"/>
      <c r="O5" s="4"/>
    </row>
    <row r="6" spans="2:18" ht="15" thickBot="1" x14ac:dyDescent="0.45">
      <c r="B6" s="5" t="s">
        <v>7</v>
      </c>
      <c r="C6" s="6">
        <v>0</v>
      </c>
      <c r="D6" s="6">
        <v>180000</v>
      </c>
      <c r="E6" s="7">
        <v>0.04</v>
      </c>
      <c r="F6" s="8">
        <v>0</v>
      </c>
      <c r="G6" s="111">
        <f>(((4800000*E6)-F6)/4800000)</f>
        <v>0.04</v>
      </c>
      <c r="H6" s="118"/>
      <c r="I6" s="89" t="s">
        <v>8</v>
      </c>
      <c r="J6" s="89" t="s">
        <v>9</v>
      </c>
      <c r="K6" s="89" t="s">
        <v>10</v>
      </c>
      <c r="L6" s="89" t="s">
        <v>11</v>
      </c>
      <c r="M6" s="89" t="s">
        <v>12</v>
      </c>
      <c r="N6" s="90" t="s">
        <v>13</v>
      </c>
      <c r="O6" s="9"/>
      <c r="P6" s="9"/>
      <c r="Q6" s="9"/>
      <c r="R6" s="9"/>
    </row>
    <row r="7" spans="2:18" ht="12" thickBot="1" x14ac:dyDescent="0.35">
      <c r="B7" s="5" t="s">
        <v>14</v>
      </c>
      <c r="C7" s="6">
        <v>180000.01</v>
      </c>
      <c r="D7" s="6">
        <v>360000</v>
      </c>
      <c r="E7" s="7">
        <v>7.2999999999999995E-2</v>
      </c>
      <c r="F7" s="10">
        <v>5940</v>
      </c>
      <c r="H7" s="5" t="s">
        <v>7</v>
      </c>
      <c r="I7" s="7">
        <v>5.5E-2</v>
      </c>
      <c r="J7" s="7">
        <v>3.5000000000000003E-2</v>
      </c>
      <c r="K7" s="7">
        <v>0.12740000000000001</v>
      </c>
      <c r="L7" s="7">
        <v>2.76E-2</v>
      </c>
      <c r="M7" s="7">
        <v>0.41499999999999998</v>
      </c>
      <c r="N7" s="11">
        <v>0.34</v>
      </c>
      <c r="O7" s="12"/>
      <c r="P7" s="12"/>
      <c r="Q7" s="12"/>
      <c r="R7" s="12"/>
    </row>
    <row r="8" spans="2:18" ht="12" thickBot="1" x14ac:dyDescent="0.35">
      <c r="B8" s="5" t="s">
        <v>15</v>
      </c>
      <c r="C8" s="6">
        <v>360000.01</v>
      </c>
      <c r="D8" s="6">
        <v>720000</v>
      </c>
      <c r="E8" s="7">
        <v>9.5000000000000001E-2</v>
      </c>
      <c r="F8" s="10">
        <v>13860</v>
      </c>
      <c r="H8" s="5" t="s">
        <v>14</v>
      </c>
      <c r="I8" s="7">
        <v>5.5E-2</v>
      </c>
      <c r="J8" s="7">
        <v>3.5000000000000003E-2</v>
      </c>
      <c r="K8" s="7">
        <v>0.12740000000000001</v>
      </c>
      <c r="L8" s="7">
        <v>2.76E-2</v>
      </c>
      <c r="M8" s="7">
        <v>0.41499999999999998</v>
      </c>
      <c r="N8" s="11">
        <v>0.34</v>
      </c>
      <c r="O8" s="12"/>
      <c r="P8" s="12"/>
      <c r="Q8" s="12"/>
      <c r="R8" s="12"/>
    </row>
    <row r="9" spans="2:18" ht="12" thickBot="1" x14ac:dyDescent="0.35">
      <c r="B9" s="5" t="s">
        <v>16</v>
      </c>
      <c r="C9" s="6">
        <v>720000.01</v>
      </c>
      <c r="D9" s="6">
        <v>1800000</v>
      </c>
      <c r="E9" s="7">
        <v>0.107</v>
      </c>
      <c r="F9" s="10">
        <v>22500</v>
      </c>
      <c r="H9" s="5" t="s">
        <v>15</v>
      </c>
      <c r="I9" s="7">
        <v>5.5E-2</v>
      </c>
      <c r="J9" s="7">
        <v>3.5000000000000003E-2</v>
      </c>
      <c r="K9" s="7">
        <v>0.12740000000000001</v>
      </c>
      <c r="L9" s="7">
        <v>2.76E-2</v>
      </c>
      <c r="M9" s="7">
        <v>0.42</v>
      </c>
      <c r="N9" s="11">
        <v>0.33500000000000002</v>
      </c>
      <c r="O9" s="12"/>
      <c r="P9" s="12"/>
      <c r="Q9" s="12"/>
      <c r="R9" s="12"/>
    </row>
    <row r="10" spans="2:18" ht="12" thickBot="1" x14ac:dyDescent="0.35">
      <c r="B10" s="5" t="s">
        <v>17</v>
      </c>
      <c r="C10" s="6">
        <v>1800000.01</v>
      </c>
      <c r="D10" s="6">
        <v>3600000</v>
      </c>
      <c r="E10" s="7">
        <v>0.14299999999999999</v>
      </c>
      <c r="F10" s="10">
        <v>87300</v>
      </c>
      <c r="H10" s="5" t="s">
        <v>16</v>
      </c>
      <c r="I10" s="7">
        <v>5.5E-2</v>
      </c>
      <c r="J10" s="7">
        <v>3.5000000000000003E-2</v>
      </c>
      <c r="K10" s="7">
        <v>0.12740000000000001</v>
      </c>
      <c r="L10" s="7">
        <v>2.76E-2</v>
      </c>
      <c r="M10" s="7">
        <v>0.42</v>
      </c>
      <c r="N10" s="11">
        <v>0.33500000000000002</v>
      </c>
      <c r="O10" s="12"/>
      <c r="P10" s="12"/>
      <c r="Q10" s="12"/>
      <c r="R10" s="12"/>
    </row>
    <row r="11" spans="2:18" ht="15" thickBot="1" x14ac:dyDescent="0.45">
      <c r="B11" s="13" t="s">
        <v>18</v>
      </c>
      <c r="C11" s="14">
        <v>3600000.01</v>
      </c>
      <c r="D11" s="14">
        <v>4800000</v>
      </c>
      <c r="E11" s="15">
        <v>0.19</v>
      </c>
      <c r="F11" s="16">
        <v>378000</v>
      </c>
      <c r="G11" s="111">
        <f>(((4800000*E11)-F11)/4800000)</f>
        <v>0.11125</v>
      </c>
      <c r="H11" s="5" t="s">
        <v>17</v>
      </c>
      <c r="I11" s="7">
        <v>5.5E-2</v>
      </c>
      <c r="J11" s="7">
        <v>3.5000000000000003E-2</v>
      </c>
      <c r="K11" s="7">
        <v>0.12740000000000001</v>
      </c>
      <c r="L11" s="7">
        <v>2.76E-2</v>
      </c>
      <c r="M11" s="7">
        <v>0.42</v>
      </c>
      <c r="N11" s="11">
        <v>0.33500000000000002</v>
      </c>
      <c r="O11" s="12"/>
      <c r="P11" s="12"/>
      <c r="Q11" s="12"/>
      <c r="R11" s="12"/>
    </row>
    <row r="12" spans="2:18" ht="12" thickBot="1" x14ac:dyDescent="0.35">
      <c r="B12" s="17"/>
      <c r="H12" s="13" t="s">
        <v>18</v>
      </c>
      <c r="I12" s="15">
        <v>0.13500000000000001</v>
      </c>
      <c r="J12" s="15">
        <v>0.1</v>
      </c>
      <c r="K12" s="15">
        <v>0.28270000000000001</v>
      </c>
      <c r="L12" s="15">
        <v>6.13E-2</v>
      </c>
      <c r="M12" s="15">
        <v>0.42099999999999999</v>
      </c>
      <c r="N12" s="18">
        <v>0</v>
      </c>
      <c r="O12" s="12"/>
      <c r="P12" s="12"/>
      <c r="Q12" s="12"/>
      <c r="R12" s="12"/>
    </row>
    <row r="13" spans="2:18" x14ac:dyDescent="0.3">
      <c r="B13" s="17"/>
      <c r="H13" s="19"/>
      <c r="I13" s="20"/>
      <c r="J13" s="20"/>
      <c r="K13" s="20"/>
      <c r="L13" s="20"/>
      <c r="M13" s="20"/>
      <c r="N13" s="19"/>
      <c r="O13" s="12"/>
      <c r="P13" s="12"/>
      <c r="Q13" s="12"/>
      <c r="R13" s="12"/>
    </row>
    <row r="14" spans="2:18" x14ac:dyDescent="0.3">
      <c r="B14" s="21" t="s">
        <v>19</v>
      </c>
      <c r="H14" s="19"/>
      <c r="I14" s="20"/>
      <c r="J14" s="20"/>
      <c r="K14" s="20"/>
      <c r="L14" s="20"/>
      <c r="M14" s="20"/>
      <c r="N14" s="19"/>
      <c r="O14" s="12"/>
      <c r="P14" s="12"/>
      <c r="Q14" s="12"/>
      <c r="R14" s="12"/>
    </row>
    <row r="16" spans="2:18" ht="12" thickBot="1" x14ac:dyDescent="0.35">
      <c r="I16" s="2" t="s">
        <v>20</v>
      </c>
      <c r="M16" s="58" t="s">
        <v>73</v>
      </c>
    </row>
    <row r="17" spans="2:13" ht="12" thickBot="1" x14ac:dyDescent="0.35">
      <c r="B17" s="1" t="s">
        <v>21</v>
      </c>
      <c r="F17" s="22"/>
      <c r="G17" s="23">
        <v>0</v>
      </c>
      <c r="I17" s="1" t="s">
        <v>23</v>
      </c>
      <c r="M17" s="23">
        <v>0</v>
      </c>
    </row>
    <row r="18" spans="2:13" ht="12" thickBot="1" x14ac:dyDescent="0.35">
      <c r="B18" s="1" t="s">
        <v>24</v>
      </c>
      <c r="F18" s="22"/>
      <c r="G18" s="23">
        <v>0</v>
      </c>
      <c r="H18" s="35"/>
    </row>
    <row r="19" spans="2:13" ht="12" thickBot="1" x14ac:dyDescent="0.35">
      <c r="B19" s="1" t="s">
        <v>25</v>
      </c>
      <c r="D19" s="22"/>
      <c r="E19" s="24"/>
      <c r="F19" s="22"/>
      <c r="G19" s="23">
        <v>0</v>
      </c>
      <c r="H19" s="72"/>
    </row>
    <row r="20" spans="2:13" ht="12" thickBot="1" x14ac:dyDescent="0.35">
      <c r="B20" s="1" t="s">
        <v>26</v>
      </c>
      <c r="E20" s="25"/>
      <c r="F20" s="4"/>
      <c r="G20" s="112">
        <f>IF($G$17=0,$E$6,IF(AND($G$17&gt;=$C$6,$G$17&lt;=$D$6),((($G$17*$E$6)-$F$6)/$G$17),IF(AND($G$17&gt;=$C$7,$G$17&lt;=$D$7),((($G$17*$E$7)-$F$7)/$G$17),IF(AND($G$17&gt;=$C$8,$G$17&lt;=$D$8),((($G$17*$E$8)-$F$8)/$G$17),IF(AND($G$17&gt;=$C$9,$G$17&lt;=$D$9),((($G$17*$E$9)-$F$9)/$G$17),IF(AND($G$17&gt;=$C$10,$G$17&lt;=$D$10),((($G$17*$E$10)-$F$10)/$G$17),IF($G$17&gt;=$C$11,((($G$17*$E$11)-$F$11)/$G$17))))))))</f>
        <v>0.04</v>
      </c>
      <c r="H20" s="35"/>
      <c r="I20" s="2" t="s">
        <v>13</v>
      </c>
      <c r="M20" s="58" t="s">
        <v>73</v>
      </c>
    </row>
    <row r="21" spans="2:13" ht="12" thickBot="1" x14ac:dyDescent="0.35">
      <c r="E21" s="25"/>
      <c r="F21" s="4"/>
      <c r="G21" s="26"/>
      <c r="H21" s="35"/>
      <c r="I21" s="1" t="s">
        <v>30</v>
      </c>
      <c r="M21" s="23">
        <v>0</v>
      </c>
    </row>
    <row r="22" spans="2:13" ht="12" thickBot="1" x14ac:dyDescent="0.35">
      <c r="B22" s="1" t="s">
        <v>29</v>
      </c>
      <c r="F22" s="22"/>
      <c r="G22" s="23">
        <v>0</v>
      </c>
    </row>
    <row r="23" spans="2:13" ht="12" thickBot="1" x14ac:dyDescent="0.35">
      <c r="B23" s="1" t="s">
        <v>31</v>
      </c>
      <c r="F23" s="22"/>
      <c r="G23" s="23">
        <v>0</v>
      </c>
    </row>
    <row r="24" spans="2:13" ht="12" thickBot="1" x14ac:dyDescent="0.35">
      <c r="B24" s="1" t="s">
        <v>32</v>
      </c>
      <c r="F24" s="22"/>
      <c r="G24" s="23">
        <v>0</v>
      </c>
      <c r="I24" s="2" t="s">
        <v>33</v>
      </c>
    </row>
    <row r="25" spans="2:13" ht="12" thickBot="1" x14ac:dyDescent="0.35">
      <c r="B25" s="1" t="s">
        <v>26</v>
      </c>
      <c r="G25" s="112">
        <f>IF($G$22=0,$E$6,IF(AND($G$22&gt;=$C$6,$G$22&lt;=$D$6),((($G$22*$E$6)-$F$6)/$G$22),IF(AND($G$22&gt;=$C$7,$G$22&lt;=$D$7),((($G$22*$E$7)-$F$7)/$G$22),IF(AND($G$22&gt;=$C$8,$G$22&lt;=$D$8),((($G$22*$E$8)-$F$8)/$G$22),IF(AND($G$22&gt;=$C$9,$G$22&lt;=$D$9),((($G$22*$E$9)-$F$9)/$G$22),IF(AND($G$22&gt;=$C$10,$G$22&lt;=$D$10),((($G$22*$E$10)-$F$10)/$G$22),IF($G$22&gt;=$C$11,((($G$22*$E$11)-$F$11)/$G$22))))))))</f>
        <v>0.04</v>
      </c>
      <c r="I25" s="1" t="s">
        <v>22</v>
      </c>
      <c r="J25" s="30">
        <v>1800000</v>
      </c>
    </row>
    <row r="26" spans="2:13" x14ac:dyDescent="0.3">
      <c r="I26" s="91" t="s">
        <v>34</v>
      </c>
      <c r="J26" s="92">
        <v>3600000</v>
      </c>
    </row>
    <row r="27" spans="2:13" x14ac:dyDescent="0.3">
      <c r="J27" s="25"/>
    </row>
    <row r="28" spans="2:13" x14ac:dyDescent="0.3">
      <c r="B28" s="85" t="s">
        <v>35</v>
      </c>
      <c r="C28" s="85"/>
      <c r="D28" s="85"/>
      <c r="E28" s="85"/>
      <c r="F28" s="85"/>
      <c r="G28" s="85"/>
      <c r="H28" s="85"/>
      <c r="I28" s="85"/>
      <c r="J28" s="86"/>
    </row>
    <row r="29" spans="2:13" x14ac:dyDescent="0.3">
      <c r="E29" s="40"/>
      <c r="F29" s="40"/>
      <c r="G29" s="40"/>
      <c r="H29" s="40"/>
      <c r="I29" s="40"/>
    </row>
    <row r="30" spans="2:13" x14ac:dyDescent="0.3">
      <c r="B30" s="93" t="s">
        <v>36</v>
      </c>
      <c r="C30" s="93"/>
      <c r="D30" s="94" t="s">
        <v>37</v>
      </c>
      <c r="E30" s="94" t="s">
        <v>8</v>
      </c>
      <c r="F30" s="94" t="s">
        <v>9</v>
      </c>
      <c r="G30" s="94" t="s">
        <v>38</v>
      </c>
      <c r="H30" s="94" t="s">
        <v>39</v>
      </c>
      <c r="I30" s="94" t="s">
        <v>12</v>
      </c>
      <c r="J30" s="94" t="s">
        <v>13</v>
      </c>
    </row>
    <row r="31" spans="2:13" ht="24" customHeight="1" x14ac:dyDescent="0.3">
      <c r="B31" s="122" t="s">
        <v>40</v>
      </c>
      <c r="C31" s="125">
        <f>IF($G$18&gt;4800000,G19-#REF!,$G$19)</f>
        <v>0</v>
      </c>
      <c r="D31" s="128">
        <f>G20</f>
        <v>0.04</v>
      </c>
      <c r="E31" s="131">
        <f>IF(C31=0,0,IF($G$17=0,($E$6*$I$7),(IF(AND($G$17&gt;=$C$6,$G$17&lt;=$D$6),((($G$17*$E$6)-$F$6)/$G$17)*$I$7,IF(AND($G$17&gt;=$C$7,$G$17&lt;=$D$7),((($G$17*$E$7)-$F$7)/$G$17)*$I$8,IF(AND($G$17&gt;=$C$8,$G$17&lt;=$D$8),((($G$17*$E$8)-$F$8)/$G$17)*$I$9,IF(AND($G$17&gt;=$C$9,$G$17&lt;=$D$9),((($G$17*$E$9)-$F$9)/$G$17)*$I$10,IF(AND($G$17&gt;=$C$10,$G$17&lt;=$D$10),((($G$17*$E$10)-$F$10)/$G$17)*$I$11,IF($G$17&gt;=$C$11,((($G$17*$E$11)-$F$11)/$G$17)*$I$12)))))))))</f>
        <v>0</v>
      </c>
      <c r="F31" s="131">
        <f>IF(C31=0,0,IF($G$17=0,($E$6*$J$7),(IF(AND($G$17&gt;=$C$6,$G$17&lt;=$D$6),((($G$17*$E$6)-$F$6)/$G$17)*$J$7,IF(AND($G$17&gt;=$C$7,$G$17&lt;=$D$7),((($G$17*$E$7)-$F$7)/$G$17)*$J$8,IF(AND($G$17&gt;=$C$8,$G$17&lt;=$D$8),((($G$17*$E$8)-$F$8)/$G$17)*$J$9,IF(AND($G$17&gt;=$C$9,$G$17&lt;=$D$9),((($G$17*$E$9)-$F$9)/$G$17)*$J$10,IF(AND($G$17&gt;=$C$10,$G$17&lt;=$D$10),((($G$17*$E$10)-$F$10)/$G$17)*$J$11,IF($G$17&gt;=$C$11,((($G$17*$E$11)-$F$11)/$G$17)*$J$12)))))))))</f>
        <v>0</v>
      </c>
      <c r="G31" s="80">
        <f>IF(C31=0,0,IF($G$17=0,($E$6*$K$7),(IF(AND($G$17&gt;=$C$6,$G$17&lt;=$D$6),((($G$17*$E$6)-$F$6)/$G$17)*$K$7,IF(AND($G$17&gt;=$C$7,$G$17&lt;=$D$7),((($G$17*$E$7)-$F$7)/$G$17)*$K$8,IF(AND($G$17&gt;=$C$8,$G$17&lt;=$D$8),((($G$17*$E$8)-$F$8)/$G$17)*$K$9,IF(AND($G$17&gt;=$C$9,$G$17&lt;=$D$9),((($G$17*$E$9)-$F$9)/$G$17)*$K$10,IF(AND($G$17&gt;=$C$10,$G$17&lt;=$D$10),((($G$17*$E$10)-$F$10)/$G$17)*$K$11,IF($G$17&gt;=$C$11,((($G$17*$E$11)-$F$11)/$G$17)*$K$12)))))))))</f>
        <v>0</v>
      </c>
      <c r="H31" s="80">
        <f>IF(C31=0,0,IF($G$17=0,($E$6*$L$7),(IF(AND($G$17&gt;=$C$6,$G$17&lt;=$D$6),((($G$17*$E$6)-$F$6)/$G$17)*$L$7,IF(AND($G$17&gt;=$C$7,$G$17&lt;=$D$7),((($G$17*$E$7)-$F$7)/$G$17)*$L$8,IF(AND($G$17&gt;=$C$8,$G$17&lt;=$D$8),((($G$17*$E$8)-$F$8)/$G$17)*$L$9,IF(AND($G$17&gt;=$C$9,$G$17&lt;=$D$9),((($G$17*$E$9)-$F$9)/$G$17)*$L$10,IF(AND($G$17&gt;=$C$10,$G$17&lt;=$D$10),((($G$17*$E$10)-$F$10)/$G$17)*$L$11,IF($G$17&gt;=$C$11,((($G$17*$E$11)-$F$11)/$G$17)*$L$12)))))))))</f>
        <v>0</v>
      </c>
      <c r="I31" s="119">
        <f>IF(C31=0,0,IF($G$17=0,($E$6*$M$7),(IF(AND($G$17&gt;=$C$6,$G$17&lt;=$D$6),((($G$17*$E$6)-$F$6)/$G$17)*$M$7,IF(AND($G$17&gt;=$C$7,$G$17&lt;=$D$7),((($G$17*$E$7)-$F$7)/$G$17)*$M$8,IF(AND($G$17&gt;=$C$8,$G$17&lt;=$D$8),((($G$17*$E$8)-$F$8)/$G$17)*$M$9,IF(AND($G$17&gt;=$C$9,$G$17&lt;=$D$9),((($G$17*$E$9)-$F$9)/$G$17)*$M$10,IF(AND($G$17&gt;=$C$10,$G$17&lt;=$D$10),((($G$17*$E$10)-$F$10)/$G$17)*$M$11,IF($G$17&gt;=$C$11,((($G$17*$E$11)-$F$11)/$G$17)*$M$12)))))))))</f>
        <v>0</v>
      </c>
      <c r="J31" s="81">
        <f>IF(D31=0,0,IF($G$17=0,($E$6*$N$7),(IF(AND($G$17&gt;=$C$6,$G$17&lt;=$D$6),((($G$17*$E$6)-$F$6)/$G$17)*$N$7,IF(AND($G$17&gt;=$C$7,$G$17&lt;=$D$7),((($G$17*$E$7)-$F$7)/$G$17)*$N$8,IF(AND($G$17&gt;=$C$8,$G$17&lt;=$D$8),((($G$17*$E$8)-$F$8)/$G$17)*$N$9,IF(AND($G$17&gt;=$C$9,$G$17&lt;=$D$9),((($G$17*$E$9)-$F$9)/$G$17)*$N$10,IF(AND($G$17&gt;=$C$10,$G$17&lt;=$D$10),((($G$17*$E$10)-$F$10)/$G$17)*$N$11,IF($G$17&gt;=$C$11,((($G$17*$E$11)-$F$11)/$G$17)*$N$12)))))))))</f>
        <v>1.3600000000000001E-2</v>
      </c>
      <c r="K31" s="4"/>
      <c r="L31" s="4"/>
    </row>
    <row r="32" spans="2:13" ht="23.15" x14ac:dyDescent="0.3">
      <c r="B32" s="123"/>
      <c r="C32" s="126"/>
      <c r="D32" s="129"/>
      <c r="E32" s="132"/>
      <c r="F32" s="132"/>
      <c r="G32" s="97" t="s">
        <v>69</v>
      </c>
      <c r="H32" s="97" t="s">
        <v>68</v>
      </c>
      <c r="I32" s="120"/>
      <c r="J32" s="95" t="s">
        <v>72</v>
      </c>
      <c r="K32" s="71"/>
      <c r="L32" s="4"/>
    </row>
    <row r="33" spans="2:12" x14ac:dyDescent="0.3">
      <c r="B33" s="124"/>
      <c r="C33" s="127"/>
      <c r="D33" s="130"/>
      <c r="E33" s="133"/>
      <c r="F33" s="133"/>
      <c r="G33" s="101">
        <f>G19-M17</f>
        <v>0</v>
      </c>
      <c r="H33" s="101">
        <f>G19-M17</f>
        <v>0</v>
      </c>
      <c r="I33" s="121"/>
      <c r="J33" s="102">
        <f>G19-M21</f>
        <v>0</v>
      </c>
      <c r="K33" s="71"/>
      <c r="L33" s="4"/>
    </row>
    <row r="34" spans="2:12" x14ac:dyDescent="0.3">
      <c r="B34" s="96"/>
      <c r="C34" s="94"/>
      <c r="D34" s="84">
        <f>SUM(E34:J34)</f>
        <v>0</v>
      </c>
      <c r="E34" s="84">
        <f>$C$31*E31</f>
        <v>0</v>
      </c>
      <c r="F34" s="84">
        <f>$C$31*F31</f>
        <v>0</v>
      </c>
      <c r="G34" s="84">
        <f>G33*G31</f>
        <v>0</v>
      </c>
      <c r="H34" s="84">
        <f>H33*H31</f>
        <v>0</v>
      </c>
      <c r="I34" s="84">
        <f>$C$31*I31</f>
        <v>0</v>
      </c>
      <c r="J34" s="84">
        <f>J33*J31</f>
        <v>0</v>
      </c>
      <c r="L34" s="32"/>
    </row>
    <row r="35" spans="2:12" x14ac:dyDescent="0.3">
      <c r="B35" s="33"/>
      <c r="D35" s="34"/>
      <c r="E35" s="43"/>
      <c r="F35" s="43"/>
      <c r="G35" s="43"/>
      <c r="H35" s="43"/>
      <c r="I35" s="43"/>
      <c r="J35" s="35"/>
    </row>
    <row r="36" spans="2:12" x14ac:dyDescent="0.3">
      <c r="B36" s="85" t="s">
        <v>43</v>
      </c>
      <c r="C36" s="85"/>
      <c r="D36" s="85"/>
      <c r="E36" s="85"/>
      <c r="F36" s="85"/>
      <c r="G36" s="85"/>
      <c r="H36" s="85"/>
      <c r="I36" s="85"/>
      <c r="J36" s="86"/>
    </row>
    <row r="37" spans="2:12" x14ac:dyDescent="0.3">
      <c r="B37" s="2"/>
      <c r="C37" s="2"/>
      <c r="D37" s="2"/>
      <c r="E37" s="2"/>
      <c r="F37" s="2"/>
      <c r="G37" s="2"/>
      <c r="H37" s="2"/>
      <c r="I37" s="2"/>
      <c r="J37" s="100"/>
    </row>
    <row r="38" spans="2:12" x14ac:dyDescent="0.3">
      <c r="B38" s="33"/>
      <c r="D38" s="35"/>
      <c r="E38" s="94" t="s">
        <v>8</v>
      </c>
      <c r="F38" s="94" t="s">
        <v>9</v>
      </c>
      <c r="G38" s="94" t="s">
        <v>38</v>
      </c>
      <c r="H38" s="94" t="s">
        <v>39</v>
      </c>
      <c r="I38" s="94" t="s">
        <v>12</v>
      </c>
      <c r="J38" s="94" t="s">
        <v>13</v>
      </c>
    </row>
    <row r="39" spans="2:12" ht="23.15" x14ac:dyDescent="0.3">
      <c r="B39" s="109" t="s">
        <v>44</v>
      </c>
      <c r="C39" s="73">
        <f>IF($G$23&gt;4800000,4800000,$G$24)</f>
        <v>0</v>
      </c>
      <c r="D39" s="74">
        <f>SUM(E39:J39)</f>
        <v>0</v>
      </c>
      <c r="E39" s="74">
        <f>IF(C39=0,0,IF($G$17=0,($E$6*$I$7),(IF(AND($G$17&gt;=$C$6,$G$17&lt;=$D$6),((($G$17*$E$6)-$F$6)/$G$17)*$I$7,IF(AND($G$17&gt;=$C$7,$G$17&lt;=$D$7),((($G$17*$E$7)-$F$7)/$G$17)*$I$8,IF(AND($G$17&gt;=$C$8,$G$17&lt;=$D$8),((($G$17*$E$8)-$F$8)/$G$17)*$I$9,IF(AND($G$17&gt;=$C$9,$G$17&lt;=$D$9),((($G$17*$E$9)-$F$9)/$G$17)*$I$10,IF(AND($G$17&gt;=$C$10,$G$17&lt;=$D$10),((($G$17*$E$10)-$F$10)/$G$17)*$I$11,IF($G$17&gt;=$C$11,((($G$17*$E$11)-$F$11)/$G$17)*$I$12)))))))))</f>
        <v>0</v>
      </c>
      <c r="F39" s="74">
        <f>IF(C39=0,0,IF($G$17=0,($E$6*$J$7),(IF(AND($G$17&gt;=$C$6,$G$17&lt;=$D$6),((($G$17*$E$6)-$F$6)/$G$17)*$J$7,IF(AND($G$17&gt;=$C$7,$G$17&lt;=$D$7),((($G$17*$E$7)-$F$7)/$G$17)*$J$8,IF(AND($G$17&gt;=$C$8,$G$17&lt;=$D$8),((($G$17*$E$8)-$F$8)/$G$17)*$J$9,IF(AND($G$17&gt;=$C$9,$G$17&lt;=$D$9),((($G$17*$E$9)-$F$9)/$G$17)*$J$10,IF(AND($G$17&gt;=$C$10,$G$17&lt;=$D$10),((($G$17*$E$10)-$F$10)/$G$17)*$J$11,IF($G$17&gt;=$C$11,((($G$17*$E$11)-$F$11)/$G$17)*$J$12)))))))))</f>
        <v>0</v>
      </c>
      <c r="G39" s="75">
        <f>IF(C39&gt;=0,0)</f>
        <v>0</v>
      </c>
      <c r="H39" s="75">
        <f>IF(C39&gt;=0,0)</f>
        <v>0</v>
      </c>
      <c r="I39" s="75">
        <f>IF(G24=0,0,IF($G$17=0,($E$6*$M$7),(IF(AND($G$17&gt;=$C$6,$G$17&lt;=$D$6),((($G$17*$E$6)-$F$6)/$G$17)*$M$7,IF(AND($G$17&gt;=$C$7,$G$17&lt;=$D$7),((($G$17*$E$7)-$F$7)/$G$17)*$M$8,IF(AND($G$17&gt;=$C$8,$G$17&lt;=$D$8),((($G$17*$E$8)-$F$8)/$G$17)*$M$9,IF(AND($G$17&gt;=$C$9,$G$17&lt;=$D$9),((($G$17*$E$9)-$F$9)/$G$17)*$M$10,IF(AND($G$17&gt;=$C$10,$G$17&lt;=$D$10),((($G$17*$E$10)-$F$10)/$G$17)*$M$11,IF($G$17&gt;=$C$11,((($G$17*$E$11)-$F$11)/$G$17)*$M$12)))))))))</f>
        <v>0</v>
      </c>
      <c r="J39" s="75">
        <f>IF(C39&gt;=0,0)</f>
        <v>0</v>
      </c>
      <c r="K39" s="4"/>
    </row>
    <row r="40" spans="2:12" x14ac:dyDescent="0.3">
      <c r="B40" s="96"/>
      <c r="C40" s="94"/>
      <c r="D40" s="84">
        <f>SUM(E40:J40)</f>
        <v>0</v>
      </c>
      <c r="E40" s="84">
        <f>$C$39*E39</f>
        <v>0</v>
      </c>
      <c r="F40" s="84">
        <f t="shared" ref="F40:J40" si="0">$C$39*F39</f>
        <v>0</v>
      </c>
      <c r="G40" s="84">
        <f t="shared" si="0"/>
        <v>0</v>
      </c>
      <c r="H40" s="84">
        <f t="shared" si="0"/>
        <v>0</v>
      </c>
      <c r="I40" s="84">
        <f t="shared" si="0"/>
        <v>0</v>
      </c>
      <c r="J40" s="84">
        <f t="shared" si="0"/>
        <v>0</v>
      </c>
    </row>
    <row r="41" spans="2:12" x14ac:dyDescent="0.3">
      <c r="B41" s="33"/>
      <c r="D41" s="35"/>
      <c r="E41" s="35"/>
      <c r="F41" s="35"/>
      <c r="G41" s="35"/>
      <c r="H41" s="35"/>
      <c r="I41" s="35"/>
      <c r="J41" s="35"/>
    </row>
    <row r="42" spans="2:12" x14ac:dyDescent="0.3">
      <c r="B42" s="82" t="s">
        <v>37</v>
      </c>
      <c r="C42" s="83">
        <f>C31+C39</f>
        <v>0</v>
      </c>
      <c r="D42" s="84">
        <f>D34+D40</f>
        <v>0</v>
      </c>
      <c r="E42" s="84">
        <f t="shared" ref="E42:J42" si="1">E34+E40</f>
        <v>0</v>
      </c>
      <c r="F42" s="84">
        <f t="shared" si="1"/>
        <v>0</v>
      </c>
      <c r="G42" s="84">
        <f t="shared" si="1"/>
        <v>0</v>
      </c>
      <c r="H42" s="84">
        <f t="shared" si="1"/>
        <v>0</v>
      </c>
      <c r="I42" s="84">
        <f t="shared" si="1"/>
        <v>0</v>
      </c>
      <c r="J42" s="84">
        <f t="shared" si="1"/>
        <v>0</v>
      </c>
    </row>
    <row r="43" spans="2:12" x14ac:dyDescent="0.3">
      <c r="E43" s="35"/>
    </row>
  </sheetData>
  <mergeCells count="11">
    <mergeCell ref="I31:I33"/>
    <mergeCell ref="B31:B33"/>
    <mergeCell ref="C31:C33"/>
    <mergeCell ref="D31:D33"/>
    <mergeCell ref="E31:E33"/>
    <mergeCell ref="F31:F33"/>
    <mergeCell ref="B2:E2"/>
    <mergeCell ref="B3:E3"/>
    <mergeCell ref="B5:D5"/>
    <mergeCell ref="H5:H6"/>
    <mergeCell ref="I5:N5"/>
  </mergeCells>
  <dataValidations disablePrompts="1" count="1">
    <dataValidation type="list" allowBlank="1" showInputMessage="1" showErrorMessage="1" sqref="I27:I28 I36:I37" xr:uid="{55C24254-0DF1-4690-A0CA-C02504C915DF}">
      <formula1>#REF!</formula1>
    </dataValidation>
  </dataValidation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2BFF9-0223-4D93-98FD-BD9EA604D4F9}">
  <sheetPr codeName="Planilha3">
    <tabColor rgb="FF92D050"/>
  </sheetPr>
  <dimension ref="B2:S41"/>
  <sheetViews>
    <sheetView showGridLines="0" workbookViewId="0"/>
  </sheetViews>
  <sheetFormatPr defaultColWidth="9.07421875" defaultRowHeight="11.6" x14ac:dyDescent="0.3"/>
  <cols>
    <col min="1" max="1" width="2.69140625" style="1" customWidth="1"/>
    <col min="2" max="2" width="21.4609375" style="1" bestFit="1" customWidth="1"/>
    <col min="3" max="3" width="18.53515625" style="1" customWidth="1"/>
    <col min="4" max="4" width="15.07421875" style="1" customWidth="1"/>
    <col min="5" max="5" width="27.84375" style="1" bestFit="1" customWidth="1"/>
    <col min="6" max="6" width="15" style="1" customWidth="1"/>
    <col min="7" max="7" width="17" style="1" customWidth="1"/>
    <col min="8" max="8" width="14.3046875" style="1" customWidth="1"/>
    <col min="9" max="9" width="14.69140625" style="1" customWidth="1"/>
    <col min="10" max="10" width="14.84375" style="1" customWidth="1"/>
    <col min="11" max="11" width="15.07421875" style="1" bestFit="1" customWidth="1"/>
    <col min="12" max="12" width="11.84375" style="1" customWidth="1"/>
    <col min="13" max="13" width="7.84375" style="1" customWidth="1"/>
    <col min="14" max="14" width="12.4609375" style="1" customWidth="1"/>
    <col min="15" max="15" width="9.07421875" style="1"/>
    <col min="16" max="16" width="24.4609375" style="1" customWidth="1"/>
    <col min="17" max="17" width="15.53515625" style="1" customWidth="1"/>
    <col min="18" max="18" width="14.84375" style="1" customWidth="1"/>
    <col min="19" max="19" width="13" style="1" customWidth="1"/>
    <col min="20" max="16384" width="9.07421875" style="1"/>
  </cols>
  <sheetData>
    <row r="2" spans="2:19" x14ac:dyDescent="0.3">
      <c r="B2" s="113" t="s">
        <v>45</v>
      </c>
      <c r="C2" s="113"/>
      <c r="D2" s="113"/>
      <c r="E2" s="113"/>
    </row>
    <row r="3" spans="2:19" ht="12" customHeight="1" x14ac:dyDescent="0.3">
      <c r="B3" s="113" t="s">
        <v>46</v>
      </c>
      <c r="C3" s="113"/>
      <c r="D3" s="113"/>
      <c r="E3" s="113"/>
    </row>
    <row r="4" spans="2:19" ht="12" thickBot="1" x14ac:dyDescent="0.35">
      <c r="B4" s="3"/>
      <c r="N4" s="2"/>
    </row>
    <row r="5" spans="2:19" ht="24.75" customHeight="1" thickBot="1" x14ac:dyDescent="0.35">
      <c r="B5" s="114" t="s">
        <v>2</v>
      </c>
      <c r="C5" s="115"/>
      <c r="D5" s="116"/>
      <c r="E5" s="87" t="s">
        <v>3</v>
      </c>
      <c r="F5" s="88" t="s">
        <v>4</v>
      </c>
      <c r="H5" s="117" t="s">
        <v>5</v>
      </c>
      <c r="I5" s="114" t="s">
        <v>6</v>
      </c>
      <c r="J5" s="115"/>
      <c r="K5" s="115"/>
      <c r="L5" s="115"/>
      <c r="M5" s="115"/>
      <c r="N5" s="115"/>
      <c r="O5" s="116"/>
      <c r="P5" s="4"/>
    </row>
    <row r="6" spans="2:19" ht="15" thickBot="1" x14ac:dyDescent="0.45">
      <c r="B6" s="5" t="s">
        <v>7</v>
      </c>
      <c r="C6" s="6">
        <v>0</v>
      </c>
      <c r="D6" s="6">
        <v>180000</v>
      </c>
      <c r="E6" s="7">
        <v>4.4999999999999998E-2</v>
      </c>
      <c r="F6" s="8">
        <v>0</v>
      </c>
      <c r="G6" s="111">
        <f>(((4800000*E6)-F6)/4800000)</f>
        <v>4.4999999999999998E-2</v>
      </c>
      <c r="H6" s="118"/>
      <c r="I6" s="89" t="s">
        <v>8</v>
      </c>
      <c r="J6" s="89" t="s">
        <v>9</v>
      </c>
      <c r="K6" s="89" t="s">
        <v>10</v>
      </c>
      <c r="L6" s="89" t="s">
        <v>11</v>
      </c>
      <c r="M6" s="98" t="s">
        <v>12</v>
      </c>
      <c r="N6" s="99" t="s">
        <v>47</v>
      </c>
      <c r="O6" s="90" t="s">
        <v>13</v>
      </c>
      <c r="P6" s="9"/>
      <c r="Q6" s="9"/>
      <c r="R6" s="9"/>
      <c r="S6" s="9"/>
    </row>
    <row r="7" spans="2:19" ht="12" thickBot="1" x14ac:dyDescent="0.35">
      <c r="B7" s="5" t="s">
        <v>14</v>
      </c>
      <c r="C7" s="6">
        <v>180000.01</v>
      </c>
      <c r="D7" s="6">
        <v>360000</v>
      </c>
      <c r="E7" s="7">
        <v>7.8E-2</v>
      </c>
      <c r="F7" s="10">
        <v>5940</v>
      </c>
      <c r="H7" s="5" t="s">
        <v>7</v>
      </c>
      <c r="I7" s="7">
        <v>5.5E-2</v>
      </c>
      <c r="J7" s="7">
        <v>3.5000000000000003E-2</v>
      </c>
      <c r="K7" s="7">
        <v>0.11509999999999999</v>
      </c>
      <c r="L7" s="7">
        <v>2.4899999999999999E-2</v>
      </c>
      <c r="M7" s="44">
        <v>0.375</v>
      </c>
      <c r="N7" s="45">
        <v>7.4999999999999997E-2</v>
      </c>
      <c r="O7" s="11">
        <v>0.32</v>
      </c>
      <c r="P7" s="12"/>
      <c r="Q7" s="12"/>
      <c r="R7" s="12"/>
      <c r="S7" s="12"/>
    </row>
    <row r="8" spans="2:19" ht="12" thickBot="1" x14ac:dyDescent="0.35">
      <c r="B8" s="5" t="s">
        <v>15</v>
      </c>
      <c r="C8" s="6">
        <v>360000.01</v>
      </c>
      <c r="D8" s="6">
        <v>720000</v>
      </c>
      <c r="E8" s="7">
        <v>0.1</v>
      </c>
      <c r="F8" s="10">
        <v>13860</v>
      </c>
      <c r="H8" s="5" t="s">
        <v>14</v>
      </c>
      <c r="I8" s="7">
        <v>5.5E-2</v>
      </c>
      <c r="J8" s="7">
        <v>3.5000000000000003E-2</v>
      </c>
      <c r="K8" s="7">
        <v>0.11509999999999999</v>
      </c>
      <c r="L8" s="7">
        <v>2.4899999999999999E-2</v>
      </c>
      <c r="M8" s="44">
        <v>0.375</v>
      </c>
      <c r="N8" s="45">
        <v>7.4999999999999997E-2</v>
      </c>
      <c r="O8" s="11">
        <v>0.32</v>
      </c>
      <c r="P8" s="12"/>
      <c r="Q8" s="12"/>
      <c r="R8" s="12"/>
      <c r="S8" s="12"/>
    </row>
    <row r="9" spans="2:19" ht="12" thickBot="1" x14ac:dyDescent="0.35">
      <c r="B9" s="5" t="s">
        <v>16</v>
      </c>
      <c r="C9" s="6">
        <v>720000.01</v>
      </c>
      <c r="D9" s="6">
        <v>1800000</v>
      </c>
      <c r="E9" s="7">
        <v>0.112</v>
      </c>
      <c r="F9" s="10">
        <v>22500</v>
      </c>
      <c r="H9" s="5" t="s">
        <v>15</v>
      </c>
      <c r="I9" s="7">
        <v>5.5E-2</v>
      </c>
      <c r="J9" s="7">
        <v>3.5000000000000003E-2</v>
      </c>
      <c r="K9" s="7">
        <v>0.11509999999999999</v>
      </c>
      <c r="L9" s="7">
        <v>2.4899999999999999E-2</v>
      </c>
      <c r="M9" s="44">
        <v>0.375</v>
      </c>
      <c r="N9" s="45">
        <v>7.4999999999999997E-2</v>
      </c>
      <c r="O9" s="11">
        <v>0.32</v>
      </c>
      <c r="P9" s="12"/>
      <c r="Q9" s="12"/>
      <c r="R9" s="12"/>
      <c r="S9" s="12"/>
    </row>
    <row r="10" spans="2:19" ht="12" thickBot="1" x14ac:dyDescent="0.35">
      <c r="B10" s="5" t="s">
        <v>17</v>
      </c>
      <c r="C10" s="6">
        <v>1800000.01</v>
      </c>
      <c r="D10" s="6">
        <v>3600000</v>
      </c>
      <c r="E10" s="7">
        <v>0.14699999999999999</v>
      </c>
      <c r="F10" s="10">
        <v>85500</v>
      </c>
      <c r="H10" s="5" t="s">
        <v>16</v>
      </c>
      <c r="I10" s="7">
        <v>5.5E-2</v>
      </c>
      <c r="J10" s="7">
        <v>3.5000000000000003E-2</v>
      </c>
      <c r="K10" s="7">
        <v>0.11509999999999999</v>
      </c>
      <c r="L10" s="7">
        <v>2.4899999999999999E-2</v>
      </c>
      <c r="M10" s="44">
        <v>0.375</v>
      </c>
      <c r="N10" s="45">
        <v>7.4999999999999997E-2</v>
      </c>
      <c r="O10" s="11">
        <v>0.32</v>
      </c>
      <c r="P10" s="12"/>
      <c r="Q10" s="12"/>
      <c r="R10" s="12"/>
      <c r="S10" s="12"/>
    </row>
    <row r="11" spans="2:19" ht="15" thickBot="1" x14ac:dyDescent="0.45">
      <c r="B11" s="13" t="s">
        <v>18</v>
      </c>
      <c r="C11" s="14">
        <v>3600000.01</v>
      </c>
      <c r="D11" s="14">
        <v>4800000</v>
      </c>
      <c r="E11" s="15">
        <v>0.3</v>
      </c>
      <c r="F11" s="16">
        <v>720000</v>
      </c>
      <c r="G11" s="111">
        <f>(((4800000*E11)-F11)/4800000)</f>
        <v>0.15</v>
      </c>
      <c r="H11" s="5" t="s">
        <v>17</v>
      </c>
      <c r="I11" s="7">
        <v>5.5E-2</v>
      </c>
      <c r="J11" s="7">
        <v>3.5000000000000003E-2</v>
      </c>
      <c r="K11" s="7">
        <v>0.11509999999999999</v>
      </c>
      <c r="L11" s="7">
        <v>2.4899999999999999E-2</v>
      </c>
      <c r="M11" s="44">
        <v>0.375</v>
      </c>
      <c r="N11" s="45">
        <v>7.4999999999999997E-2</v>
      </c>
      <c r="O11" s="11">
        <v>0.32</v>
      </c>
      <c r="P11" s="12"/>
      <c r="Q11" s="12"/>
      <c r="R11" s="12"/>
      <c r="S11" s="12"/>
    </row>
    <row r="12" spans="2:19" ht="12" thickBot="1" x14ac:dyDescent="0.35">
      <c r="B12" s="17"/>
      <c r="H12" s="13" t="s">
        <v>18</v>
      </c>
      <c r="I12" s="15">
        <v>8.5000000000000006E-2</v>
      </c>
      <c r="J12" s="15">
        <v>7.4999999999999997E-2</v>
      </c>
      <c r="K12" s="15">
        <v>0.20960000000000001</v>
      </c>
      <c r="L12" s="15">
        <v>4.5400000000000003E-2</v>
      </c>
      <c r="M12" s="46">
        <v>0.23499999999999999</v>
      </c>
      <c r="N12" s="47">
        <v>0.35</v>
      </c>
      <c r="O12" s="69">
        <v>0</v>
      </c>
      <c r="P12" s="12"/>
      <c r="Q12" s="12"/>
      <c r="R12" s="12"/>
      <c r="S12" s="12"/>
    </row>
    <row r="13" spans="2:19" x14ac:dyDescent="0.3">
      <c r="B13" s="17"/>
      <c r="H13" s="19"/>
      <c r="I13" s="20"/>
      <c r="J13" s="20"/>
      <c r="K13" s="20"/>
      <c r="L13" s="20"/>
      <c r="M13" s="20"/>
      <c r="N13" s="19"/>
      <c r="O13" s="12"/>
      <c r="P13" s="12"/>
      <c r="Q13" s="12"/>
      <c r="R13" s="12"/>
    </row>
    <row r="14" spans="2:19" x14ac:dyDescent="0.3">
      <c r="B14" s="21" t="s">
        <v>19</v>
      </c>
      <c r="H14" s="19"/>
      <c r="I14" s="20"/>
      <c r="J14" s="20"/>
      <c r="K14" s="20"/>
      <c r="L14" s="20"/>
      <c r="M14" s="20"/>
      <c r="N14" s="19"/>
      <c r="O14" s="12"/>
      <c r="P14" s="12"/>
      <c r="Q14" s="12"/>
      <c r="R14" s="12"/>
    </row>
    <row r="16" spans="2:19" ht="12" thickBot="1" x14ac:dyDescent="0.35">
      <c r="I16" s="2" t="s">
        <v>20</v>
      </c>
      <c r="N16" s="58" t="s">
        <v>73</v>
      </c>
    </row>
    <row r="17" spans="2:14" ht="12" thickBot="1" x14ac:dyDescent="0.35">
      <c r="B17" s="1" t="s">
        <v>21</v>
      </c>
      <c r="F17" s="22"/>
      <c r="G17" s="23">
        <v>0</v>
      </c>
      <c r="I17" s="1" t="s">
        <v>23</v>
      </c>
      <c r="N17" s="23"/>
    </row>
    <row r="18" spans="2:14" ht="12" thickBot="1" x14ac:dyDescent="0.35">
      <c r="B18" s="1" t="s">
        <v>24</v>
      </c>
      <c r="F18" s="22"/>
      <c r="G18" s="23">
        <v>0</v>
      </c>
    </row>
    <row r="19" spans="2:14" ht="12" thickBot="1" x14ac:dyDescent="0.35">
      <c r="B19" s="1" t="s">
        <v>25</v>
      </c>
      <c r="D19" s="22"/>
      <c r="E19" s="24"/>
      <c r="F19" s="22"/>
      <c r="G19" s="23">
        <v>0</v>
      </c>
    </row>
    <row r="20" spans="2:14" ht="12" thickBot="1" x14ac:dyDescent="0.35">
      <c r="B20" s="1" t="s">
        <v>26</v>
      </c>
      <c r="E20" s="25"/>
      <c r="F20" s="4"/>
      <c r="G20" s="112">
        <f>IF($G$17=0,$E$6,IF(AND($G$17&gt;=$C$6,$G$17&lt;=$D$6),((($G$17*$E$6)-$F$6)/$G$17),IF(AND($G$17&gt;=$C$7,$G$17&lt;=$D$7),((($G$17*$E$7)-$F$7)/$G$17),IF(AND($G$17&gt;=$C$8,$G$17&lt;=$D$8),((($G$17*$E$8)-$F$8)/$G$17),IF(AND($G$17&gt;=$C$9,$G$17&lt;=$D$9),((($G$17*$E$9)-$F$9)/$G$17),IF(AND($G$17&gt;=$C$10,$G$17&lt;=$D$10),((($G$17*$E$10)-$F$10)/$G$17),IF($G$17&gt;=$C$11,((($G$17*$E$11)-$F$11)/$G$17))))))))</f>
        <v>4.4999999999999998E-2</v>
      </c>
      <c r="I20" s="2" t="s">
        <v>13</v>
      </c>
      <c r="N20" s="58" t="s">
        <v>73</v>
      </c>
    </row>
    <row r="21" spans="2:14" ht="12" thickBot="1" x14ac:dyDescent="0.35">
      <c r="E21" s="25"/>
      <c r="F21" s="4"/>
      <c r="G21" s="112"/>
      <c r="I21" s="1" t="s">
        <v>30</v>
      </c>
      <c r="N21" s="23"/>
    </row>
    <row r="22" spans="2:14" ht="12" thickBot="1" x14ac:dyDescent="0.35">
      <c r="B22" s="1" t="s">
        <v>29</v>
      </c>
      <c r="F22" s="22"/>
      <c r="G22" s="23">
        <v>0</v>
      </c>
    </row>
    <row r="23" spans="2:14" ht="12" thickBot="1" x14ac:dyDescent="0.35">
      <c r="B23" s="1" t="s">
        <v>31</v>
      </c>
      <c r="F23" s="22"/>
      <c r="G23" s="23">
        <v>0</v>
      </c>
    </row>
    <row r="24" spans="2:14" ht="12" thickBot="1" x14ac:dyDescent="0.35">
      <c r="B24" s="1" t="s">
        <v>32</v>
      </c>
      <c r="F24" s="22"/>
      <c r="G24" s="23">
        <v>0</v>
      </c>
      <c r="I24" s="2" t="s">
        <v>33</v>
      </c>
    </row>
    <row r="25" spans="2:14" ht="12" thickBot="1" x14ac:dyDescent="0.35">
      <c r="B25" s="1" t="s">
        <v>26</v>
      </c>
      <c r="G25" s="112">
        <f>IF($G$22=0,$E$6,IF(AND($G$22&gt;=$C$6,$G$22&lt;=$D$6),((($G$22*$E$6)-$F$6)/$G$22),IF(AND($G$22&gt;=$C$7,$G$22&lt;=$D$7),((($G$22*$E$7)-$F$7)/$G$22),IF(AND($G$22&gt;=$C$8,$G$22&lt;=$D$8),((($G$22*$E$8)-$F$8)/$G$22),IF(AND($G$22&gt;=$C$9,$G$22&lt;=$D$9),((($G$22*$E$9)-$F$9)/$G$22),IF(AND($G$22&gt;=$C$10,$G$22&lt;=$D$10),((($G$22*$E$10)-$F$10)/$G$22),IF($G$22&gt;=$C$11,((($G$22*$E$11)-$F$11)/$G$22))))))))</f>
        <v>4.4999999999999998E-2</v>
      </c>
      <c r="I25" s="1" t="s">
        <v>22</v>
      </c>
      <c r="J25" s="30">
        <v>1800000</v>
      </c>
    </row>
    <row r="26" spans="2:14" x14ac:dyDescent="0.3">
      <c r="I26" s="91" t="s">
        <v>34</v>
      </c>
      <c r="J26" s="92">
        <v>3600000</v>
      </c>
    </row>
    <row r="27" spans="2:14" x14ac:dyDescent="0.3">
      <c r="J27" s="25"/>
    </row>
    <row r="28" spans="2:14" x14ac:dyDescent="0.3">
      <c r="B28" s="85" t="s">
        <v>35</v>
      </c>
      <c r="C28" s="85"/>
      <c r="D28" s="85"/>
      <c r="E28" s="85"/>
      <c r="F28" s="85"/>
      <c r="G28" s="85"/>
      <c r="H28" s="85"/>
      <c r="I28" s="85"/>
      <c r="J28" s="85"/>
      <c r="K28" s="86"/>
    </row>
    <row r="29" spans="2:14" x14ac:dyDescent="0.3">
      <c r="E29" s="40"/>
      <c r="F29" s="40"/>
      <c r="G29" s="40"/>
      <c r="H29" s="40"/>
      <c r="I29" s="40"/>
      <c r="J29" s="40"/>
    </row>
    <row r="30" spans="2:14" x14ac:dyDescent="0.3">
      <c r="B30" s="93" t="s">
        <v>36</v>
      </c>
      <c r="C30" s="93"/>
      <c r="D30" s="94" t="s">
        <v>37</v>
      </c>
      <c r="E30" s="94" t="s">
        <v>8</v>
      </c>
      <c r="F30" s="94" t="s">
        <v>9</v>
      </c>
      <c r="G30" s="94" t="s">
        <v>38</v>
      </c>
      <c r="H30" s="94" t="s">
        <v>39</v>
      </c>
      <c r="I30" s="94" t="s">
        <v>12</v>
      </c>
      <c r="J30" s="94" t="s">
        <v>47</v>
      </c>
      <c r="K30" s="94" t="s">
        <v>13</v>
      </c>
    </row>
    <row r="31" spans="2:14" ht="23.15" x14ac:dyDescent="0.3">
      <c r="B31" s="78" t="s">
        <v>40</v>
      </c>
      <c r="C31" s="79">
        <f>IF($G$18&gt;4800000,G19-#REF!,$G$19)</f>
        <v>0</v>
      </c>
      <c r="D31" s="77">
        <f>G20</f>
        <v>4.4999999999999998E-2</v>
      </c>
      <c r="E31" s="80">
        <f>IF(C31=0,0,IF($G$17=0,($E$6*$I$7),(IF(AND($G$17&gt;=$C$6,$G$17&lt;=$D$6),((($G$17*$E$6)-$F$6)/$G$17)*$I$7,IF(AND($G$17&gt;=$C$7,$G$17&lt;=$D$7),((($G$17*$E$7)-$F$7)/$G$17)*$I$8,IF(AND($G$17&gt;=$C$8,$G$17&lt;=$D$8),((($G$17*$E$8)-$F$8)/$G$17)*$I$9,IF(AND($G$17&gt;=$C$9,$G$17&lt;=$D$9),((($G$17*$E$9)-$F$9)/$G$17)*$I$10,IF(AND($G$17&gt;=$C$10,$G$17&lt;=$D$10),((($G$17*$E$10)-$F$10)/$G$17)*$I$11,IF($G$17&gt;=$C$11,((($G$17*$E$11)-$F$11)/$G$17)*$I$12)))))))))</f>
        <v>0</v>
      </c>
      <c r="F31" s="80">
        <f>IF(C31=0,0,IF($G$17=0,($E$6*$J$7),(IF(AND($G$17&gt;=$C$6,$G$17&lt;=$D$6),((($G$17*$E$6)-$F$6)/$G$17)*$J$7,IF(AND($G$17&gt;=$C$7,$G$17&lt;=$D$7),((($G$17*$E$7)-$F$7)/$G$17)*$J$8,IF(AND($G$17&gt;=$C$8,$G$17&lt;=$D$8),((($G$17*$E$8)-$F$8)/$G$17)*$J$9,IF(AND($G$17&gt;=$C$9,$G$17&lt;=$D$9),((($G$17*$E$9)-$F$9)/$G$17)*$J$10,IF(AND($G$17&gt;=$C$10,$G$17&lt;=$D$10),((($G$17*$E$10)-$F$10)/$G$17)*$J$11,IF($G$17&gt;=$C$11,((($G$17*$E$11)-$F$11)/$G$17)*$J$12)))))))))</f>
        <v>0</v>
      </c>
      <c r="G31" s="80">
        <f>IF(C31=0,0,IF($G$17=0,($E$6*$K$7),(IF(AND($G$17&gt;=$C$6,$G$17&lt;=$D$6),((($G$17*$E$6)-$F$6)/$G$17)*$K$7,IF(AND($G$17&gt;=$C$7,$G$17&lt;=$D$7),((($G$17*$E$7)-$F$7)/$G$17)*$K$8,IF(AND($G$17&gt;=$C$8,$G$17&lt;=$D$8),((($G$17*$E$8)-$F$8)/$G$17)*$K$9,IF(AND($G$17&gt;=$C$9,$G$17&lt;=$D$9),((($G$17*$E$9)-$F$9)/$G$17)*$K$10,IF(AND($G$17&gt;=$C$10,$G$17&lt;=$D$10),((($G$17*$E$10)-$F$10)/$G$17)*$K$11,IF($G$17&gt;=$C$11,((($G$17*$E$11)-$F$11)/$G$17)*$K$12)))))))))</f>
        <v>0</v>
      </c>
      <c r="H31" s="80">
        <f>IF(C31=0,0,IF($G$17=0,($E$6*$L$7),(IF(AND($G$17&gt;=$C$6,$G$17&lt;=$D$6),((($G$17*$E$6)-$F$6)/$G$17)*$L$7,IF(AND($G$17&gt;=$C$7,$G$17&lt;=$D$7),((($G$17*$E$7)-$F$7)/$G$17)*$L$8,IF(AND($G$17&gt;=$C$8,$G$17&lt;=$D$8),((($G$17*$E$8)-$F$8)/$G$17)*$L$9,IF(AND($G$17&gt;=$C$9,$G$17&lt;=$D$9),((($G$17*$E$9)-$F$9)/$G$17)*$L$10,IF(AND($G$17&gt;=$C$10,$G$17&lt;=$D$10),((($G$17*$E$10)-$F$10)/$G$17)*$L$11,IF($G$17&gt;=$C$11,((($G$17*$E$11)-$F$11)/$G$17)*$L$12)))))))))</f>
        <v>0</v>
      </c>
      <c r="I31" s="81">
        <f>IF(C31=0,0,IF($G$17=0,($E$6*$M$7),(IF(AND($G$17&gt;=$C$6,$G$17&lt;=$D$6),((($G$17*$E$6)-$F$6)/$G$17)*$M$7,IF(AND($G$17&gt;=$C$7,$G$17&lt;=$D$7),((($G$17*$E$7)-$F$7)/$G$17)*$M$8,IF(AND($G$17&gt;=$C$8,$G$17&lt;=$D$8),((($G$17*$E$8)-$F$8)/$G$17)*$M$9,IF(AND($G$17&gt;=$C$9,$G$17&lt;=$D$9),((($G$17*$E$9)-$F$9)/$G$17)*$M$10,IF(AND($G$17&gt;=$C$10,$G$17&lt;=$D$10),((($G$17*$E$10)-$F$10)/$G$17)*$M$11,IF($G$17&gt;=$C$11,((($G$17*$E$11)-$F$11)/$G$17)*$M$12)))))))))</f>
        <v>0</v>
      </c>
      <c r="J31" s="81">
        <f>IF(C31=0,0,IF($G$17=0,($E$6*$N$7),(IF(AND($G$17&gt;=$C$6,$G$17&lt;=$D$6),((($G$17*$E$6)-$F$6)/$G$17)*$N$7,IF(AND($G$17&gt;=$C$7,$G$17&lt;=$D$7),((($G$17*$E$7)-$F$7)/$G$17)*$N$8,IF(AND($G$17&gt;=$C$8,$G$17&lt;=$D$8),((($G$17*$E$8)-$F$8)/$G$17)*$N$9,IF(AND($G$17&gt;=$C$9,$G$17&lt;=$D$9),((($G$17*$E$9)-$F$9)/$G$17)*$N$10,IF(AND($G$17&gt;=$C$10,$G$17&lt;=$D$10),((($G$17*$E$10)-$F$10)/$G$17)*$N$11,IF($G$17&gt;=$C$11,((($G$17*$E$11)-$F$11)/$G$17)*$N$12)))))))))</f>
        <v>0</v>
      </c>
      <c r="K31" s="81">
        <f>IF(D31=0,0,IF($G$17=0,($E$6*$O$7),(IF(AND($G$17&gt;=$C$6,$G$17&lt;=$D$6),((($G$17*$E$6)-$F$6)/$G$17)*$O$7,IF(AND($G$17&gt;=$C$7,$G$17&lt;=$D$7),((($G$17*$E$7)-$F$7)/$G$17)*$O$8,IF(AND($G$17&gt;=$C$8,$G$17&lt;=$D$8),((($G$17*$E$8)-$F$8)/$G$17)*$O$9,IF(AND($G$17&gt;=$C$9,$G$17&lt;=$D$9),((($G$17*$E$9)-$F$9)/$G$17)*$O$10,IF(AND($G$17&gt;=$C$10,$G$17&lt;=$D$10),((($G$17*$E$10)-$F$10)/$G$17)*$O$11,IF($G$17&gt;=$C$11,((($G$17*$E$11)-$F$11)/$G$17)*$O$12)))))))))</f>
        <v>1.44E-2</v>
      </c>
      <c r="L31" s="4"/>
      <c r="M31" s="4"/>
    </row>
    <row r="32" spans="2:14" x14ac:dyDescent="0.3">
      <c r="B32" s="96"/>
      <c r="C32" s="94"/>
      <c r="D32" s="84">
        <f>SUM(E32:K32)</f>
        <v>0</v>
      </c>
      <c r="E32" s="84">
        <f t="shared" ref="E32:J32" si="0">$C$31*E31</f>
        <v>0</v>
      </c>
      <c r="F32" s="84">
        <f t="shared" si="0"/>
        <v>0</v>
      </c>
      <c r="G32" s="84">
        <f t="shared" si="0"/>
        <v>0</v>
      </c>
      <c r="H32" s="84">
        <f t="shared" si="0"/>
        <v>0</v>
      </c>
      <c r="I32" s="84">
        <f t="shared" si="0"/>
        <v>0</v>
      </c>
      <c r="J32" s="84">
        <f t="shared" si="0"/>
        <v>0</v>
      </c>
      <c r="K32" s="84">
        <f>G19*K31</f>
        <v>0</v>
      </c>
      <c r="M32" s="32"/>
    </row>
    <row r="33" spans="2:12" x14ac:dyDescent="0.3">
      <c r="B33" s="33"/>
      <c r="D33" s="34"/>
      <c r="E33" s="43"/>
      <c r="F33" s="43"/>
      <c r="G33" s="43"/>
      <c r="H33" s="43"/>
      <c r="I33" s="43"/>
      <c r="J33" s="43"/>
      <c r="K33" s="35"/>
    </row>
    <row r="34" spans="2:12" x14ac:dyDescent="0.3">
      <c r="B34" s="85" t="s">
        <v>43</v>
      </c>
      <c r="C34" s="85"/>
      <c r="D34" s="85"/>
      <c r="E34" s="85"/>
      <c r="F34" s="85"/>
      <c r="G34" s="85"/>
      <c r="H34" s="85"/>
      <c r="I34" s="85"/>
      <c r="J34" s="85"/>
      <c r="K34" s="86"/>
    </row>
    <row r="35" spans="2:12" x14ac:dyDescent="0.3">
      <c r="B35" s="2"/>
      <c r="C35" s="2"/>
      <c r="D35" s="2"/>
      <c r="E35" s="2"/>
      <c r="F35" s="2"/>
      <c r="G35" s="2"/>
      <c r="H35" s="2"/>
      <c r="I35" s="2"/>
      <c r="J35" s="2"/>
      <c r="K35" s="100"/>
    </row>
    <row r="36" spans="2:12" x14ac:dyDescent="0.3">
      <c r="B36" s="33"/>
      <c r="D36" s="35"/>
      <c r="E36" s="94" t="s">
        <v>8</v>
      </c>
      <c r="F36" s="94" t="s">
        <v>9</v>
      </c>
      <c r="G36" s="94" t="s">
        <v>38</v>
      </c>
      <c r="H36" s="94" t="s">
        <v>39</v>
      </c>
      <c r="I36" s="94" t="s">
        <v>12</v>
      </c>
      <c r="J36" s="94" t="s">
        <v>47</v>
      </c>
      <c r="K36" s="94" t="s">
        <v>13</v>
      </c>
    </row>
    <row r="37" spans="2:12" ht="23.15" x14ac:dyDescent="0.3">
      <c r="B37" s="109" t="s">
        <v>44</v>
      </c>
      <c r="C37" s="73">
        <f>IF($G$23&gt;4800000,4800000,G24)</f>
        <v>0</v>
      </c>
      <c r="D37" s="74">
        <f>SUM(E37:K37)</f>
        <v>0</v>
      </c>
      <c r="E37" s="75">
        <f>IF(C37=0,0,IF($G$17=0,($E$6*$I$7),(IF(AND($G$17&gt;=$C$6,$G$17&lt;=$D$6),((($G$17*$E$6)-$F$6)/$G$17)*$I$7,IF(AND($G$17&gt;=$C$7,$G$17&lt;=$D$7),((($G$17*$E$7)-$F$7)/$G$17)*$I$8,IF(AND($G$17&gt;=$C$8,$G$17&lt;=$D$8),((($G$17*$E$8)-$F$8)/$G$17)*$I$9,IF(AND($G$17&gt;=$C$9,$G$17&lt;=$D$9),((($G$17*$E$9)-$F$9)/$G$17)*$I$10,IF(AND($G$17&gt;=$C$10,$G$17&lt;=$D$10),((($G$17*$E$10)-$F$10)/$G$17)*$I$11,IF($G$17&gt;=$C$11,((($G$17*$E$11)-$F$11)/$G$17)*$I$12)))))))))</f>
        <v>0</v>
      </c>
      <c r="F37" s="75">
        <f>IF(C37=0,0,IF($G$17=0,($E$6*$J$7),(IF(AND($G$17&gt;=$C$6,$G$17&lt;=$D$6),((($G$17*$E$6)-$F$6)/$G$17)*$J$7,IF(AND($G$17&gt;=$C$7,$G$17&lt;=$D$7),((($G$17*$E$7)-$F$7)/$G$17)*$J$8,IF(AND($G$17&gt;=$C$8,$G$17&lt;=$D$8),((($G$17*$E$8)-$F$8)/$G$17)*$J$9,IF(AND($G$17&gt;=$C$9,$G$17&lt;=$D$9),((($G$17*$E$9)-$F$9)/$G$17)*$J$10,IF(AND($G$17&gt;=$C$10,$G$17&lt;=$D$10),((($G$17*$E$10)-$F$10)/$G$17)*$J$11,IF($G$17&gt;=$C$11,((($G$17*$E$11)-$F$11)/$G$17)*$J$12)))))))))</f>
        <v>0</v>
      </c>
      <c r="G37" s="75">
        <f>IF($G$24&gt;=0,0)</f>
        <v>0</v>
      </c>
      <c r="H37" s="75">
        <f>IF($G$24&gt;=0,0)</f>
        <v>0</v>
      </c>
      <c r="I37" s="75">
        <f>IF(C37=0,0,IF($G$17=0,($E$6*$M$7),(IF(AND($G$17&gt;=$C$6,$G$17&lt;=$D$6),((($G$17*$E$6)-$F$6)/$G$17)*$M$7,IF(AND($G$17&gt;=$C$7,$G$17&lt;=$D$7),((($G$17*$E$7)-$F$7)/$G$17)*$M$8,IF(AND($G$17&gt;=$C$8,$G$17&lt;=$D$8),((($G$17*$E$8)-$F$8)/$G$17)*$M$9,IF(AND($G$17&gt;=$C$9,$G$17&lt;=$D$9),((($G$17*$E$9)-$F$9)/$G$17)*$M$10,IF(AND($G$17&gt;=$C$10,$G$17&lt;=$D$10),((($G$17*$E$10)-$F$10)/$G$17)*$M$11,IF($G$17&gt;=$C$11,((($G$17*$E$11)-$F$11)/$G$17)*$M$12)))))))))</f>
        <v>0</v>
      </c>
      <c r="J37" s="75">
        <f>IF($G$24&gt;=0,0)</f>
        <v>0</v>
      </c>
      <c r="K37" s="75">
        <f>IF($G$24&gt;=0,0)</f>
        <v>0</v>
      </c>
      <c r="L37" s="4"/>
    </row>
    <row r="38" spans="2:12" x14ac:dyDescent="0.3">
      <c r="B38" s="96"/>
      <c r="C38" s="94"/>
      <c r="D38" s="84">
        <f>SUM(E38:K38)</f>
        <v>0</v>
      </c>
      <c r="E38" s="84">
        <f>$C$37*E37</f>
        <v>0</v>
      </c>
      <c r="F38" s="84">
        <f t="shared" ref="F38:K38" si="1">$C$37*F37</f>
        <v>0</v>
      </c>
      <c r="G38" s="84">
        <f t="shared" si="1"/>
        <v>0</v>
      </c>
      <c r="H38" s="84">
        <f t="shared" si="1"/>
        <v>0</v>
      </c>
      <c r="I38" s="84">
        <f t="shared" si="1"/>
        <v>0</v>
      </c>
      <c r="J38" s="84">
        <f t="shared" si="1"/>
        <v>0</v>
      </c>
      <c r="K38" s="84">
        <f t="shared" si="1"/>
        <v>0</v>
      </c>
    </row>
    <row r="39" spans="2:12" x14ac:dyDescent="0.3">
      <c r="B39" s="33"/>
      <c r="D39" s="35"/>
      <c r="E39" s="35"/>
      <c r="F39" s="35"/>
      <c r="G39" s="35"/>
      <c r="H39" s="35"/>
      <c r="I39" s="35"/>
      <c r="J39" s="35"/>
      <c r="K39" s="35"/>
    </row>
    <row r="40" spans="2:12" x14ac:dyDescent="0.3">
      <c r="B40" s="82" t="s">
        <v>37</v>
      </c>
      <c r="C40" s="83">
        <f>C31+C37</f>
        <v>0</v>
      </c>
      <c r="D40" s="84">
        <f>D32+D38</f>
        <v>0</v>
      </c>
      <c r="E40" s="84">
        <f t="shared" ref="E40:K40" si="2">E32+E38</f>
        <v>0</v>
      </c>
      <c r="F40" s="84">
        <f t="shared" si="2"/>
        <v>0</v>
      </c>
      <c r="G40" s="84">
        <f t="shared" si="2"/>
        <v>0</v>
      </c>
      <c r="H40" s="84">
        <f t="shared" si="2"/>
        <v>0</v>
      </c>
      <c r="I40" s="84">
        <f t="shared" si="2"/>
        <v>0</v>
      </c>
      <c r="J40" s="84">
        <f t="shared" si="2"/>
        <v>0</v>
      </c>
      <c r="K40" s="84">
        <f t="shared" si="2"/>
        <v>0</v>
      </c>
    </row>
    <row r="41" spans="2:12" x14ac:dyDescent="0.3">
      <c r="E41" s="35"/>
    </row>
  </sheetData>
  <mergeCells count="5">
    <mergeCell ref="B2:E2"/>
    <mergeCell ref="B3:E3"/>
    <mergeCell ref="B5:D5"/>
    <mergeCell ref="H5:H6"/>
    <mergeCell ref="I5:O5"/>
  </mergeCells>
  <dataValidations disablePrompts="1" count="1">
    <dataValidation type="list" allowBlank="1" showInputMessage="1" showErrorMessage="1" sqref="I27:I28 J28 I34:J35" xr:uid="{EC3D61D7-E835-41D0-94B6-AB7F35A7470A}">
      <formula1>#REF!</formula1>
    </dataValidation>
  </dataValidation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202A0-27A6-42CF-A664-641EBA6B0309}">
  <sheetPr codeName="Planilha7">
    <tabColor rgb="FF66FF66"/>
  </sheetPr>
  <dimension ref="B2:R49"/>
  <sheetViews>
    <sheetView showGridLines="0" workbookViewId="0"/>
  </sheetViews>
  <sheetFormatPr defaultColWidth="9.07421875" defaultRowHeight="11.6" x14ac:dyDescent="0.3"/>
  <cols>
    <col min="1" max="1" width="2.69140625" style="1" customWidth="1"/>
    <col min="2" max="2" width="21.4609375" style="1" bestFit="1" customWidth="1"/>
    <col min="3" max="3" width="18.4609375" style="1" customWidth="1"/>
    <col min="4" max="4" width="14.4609375" style="1" customWidth="1"/>
    <col min="5" max="5" width="27.84375" style="1" bestFit="1" customWidth="1"/>
    <col min="6" max="6" width="16.07421875" style="1" customWidth="1"/>
    <col min="7" max="7" width="17" style="1" customWidth="1"/>
    <col min="8" max="8" width="12.07421875" style="1" customWidth="1"/>
    <col min="9" max="9" width="15.07421875" style="1" customWidth="1"/>
    <col min="10" max="10" width="14.3046875" style="1" customWidth="1"/>
    <col min="11" max="11" width="18.07421875" style="1" bestFit="1" customWidth="1"/>
    <col min="12" max="12" width="14" style="1" customWidth="1"/>
    <col min="13" max="13" width="14.84375" style="1" customWidth="1"/>
    <col min="14" max="14" width="9.07421875" style="1"/>
    <col min="15" max="15" width="9.84375" style="1" bestFit="1" customWidth="1"/>
    <col min="16" max="16" width="24.4609375" style="1" customWidth="1"/>
    <col min="17" max="17" width="15.53515625" style="1" customWidth="1"/>
    <col min="18" max="18" width="14.84375" style="1" customWidth="1"/>
    <col min="19" max="19" width="13" style="1" customWidth="1"/>
    <col min="20" max="16384" width="9.07421875" style="1"/>
  </cols>
  <sheetData>
    <row r="2" spans="2:18" x14ac:dyDescent="0.3">
      <c r="B2" s="113" t="s">
        <v>49</v>
      </c>
      <c r="C2" s="113"/>
      <c r="D2" s="113"/>
      <c r="E2" s="113"/>
    </row>
    <row r="3" spans="2:18" ht="36" customHeight="1" thickBot="1" x14ac:dyDescent="0.35">
      <c r="B3" s="113" t="s">
        <v>50</v>
      </c>
      <c r="C3" s="113"/>
      <c r="D3" s="113"/>
      <c r="E3" s="113"/>
    </row>
    <row r="4" spans="2:18" ht="24.75" customHeight="1" thickBot="1" x14ac:dyDescent="0.35">
      <c r="B4" s="114" t="s">
        <v>2</v>
      </c>
      <c r="C4" s="115"/>
      <c r="D4" s="116"/>
      <c r="E4" s="87" t="s">
        <v>3</v>
      </c>
      <c r="F4" s="88" t="s">
        <v>4</v>
      </c>
      <c r="H4" s="117" t="s">
        <v>5</v>
      </c>
      <c r="I4" s="114" t="s">
        <v>6</v>
      </c>
      <c r="J4" s="115"/>
      <c r="K4" s="115"/>
      <c r="L4" s="115"/>
      <c r="M4" s="115"/>
      <c r="N4" s="116"/>
    </row>
    <row r="5" spans="2:18" ht="15" thickBot="1" x14ac:dyDescent="0.45">
      <c r="B5" s="50" t="s">
        <v>7</v>
      </c>
      <c r="C5" s="6">
        <v>0</v>
      </c>
      <c r="D5" s="6">
        <v>180000</v>
      </c>
      <c r="E5" s="7">
        <v>0.06</v>
      </c>
      <c r="F5" s="8">
        <v>0</v>
      </c>
      <c r="G5" s="111">
        <f>(((4800000*E5)-F5)/4800000)</f>
        <v>0.06</v>
      </c>
      <c r="H5" s="118"/>
      <c r="I5" s="89" t="s">
        <v>8</v>
      </c>
      <c r="J5" s="89" t="s">
        <v>9</v>
      </c>
      <c r="K5" s="89" t="s">
        <v>10</v>
      </c>
      <c r="L5" s="89" t="s">
        <v>11</v>
      </c>
      <c r="M5" s="89" t="s">
        <v>51</v>
      </c>
      <c r="N5" s="89" t="s">
        <v>12</v>
      </c>
      <c r="O5" s="9"/>
      <c r="P5" s="9"/>
    </row>
    <row r="6" spans="2:18" ht="12" thickBot="1" x14ac:dyDescent="0.35">
      <c r="B6" s="50" t="s">
        <v>14</v>
      </c>
      <c r="C6" s="6">
        <v>180000.01</v>
      </c>
      <c r="D6" s="6">
        <v>360000</v>
      </c>
      <c r="E6" s="7">
        <v>0.112</v>
      </c>
      <c r="F6" s="10">
        <v>9360</v>
      </c>
      <c r="H6" s="5" t="s">
        <v>7</v>
      </c>
      <c r="I6" s="7">
        <v>0.04</v>
      </c>
      <c r="J6" s="7">
        <v>3.5000000000000003E-2</v>
      </c>
      <c r="K6" s="7">
        <v>0.12820000000000001</v>
      </c>
      <c r="L6" s="7">
        <v>2.7799999999999998E-2</v>
      </c>
      <c r="M6" s="7">
        <v>0.33500000000000002</v>
      </c>
      <c r="N6" s="7">
        <v>0.434</v>
      </c>
      <c r="O6" s="12"/>
      <c r="P6" s="12"/>
    </row>
    <row r="7" spans="2:18" ht="12" thickBot="1" x14ac:dyDescent="0.35">
      <c r="B7" s="50" t="s">
        <v>15</v>
      </c>
      <c r="C7" s="6">
        <v>360000.01</v>
      </c>
      <c r="D7" s="6">
        <v>720000</v>
      </c>
      <c r="E7" s="7">
        <v>0.13500000000000001</v>
      </c>
      <c r="F7" s="10">
        <v>17640</v>
      </c>
      <c r="H7" s="5" t="s">
        <v>14</v>
      </c>
      <c r="I7" s="7">
        <v>0.04</v>
      </c>
      <c r="J7" s="7">
        <v>3.5000000000000003E-2</v>
      </c>
      <c r="K7" s="7">
        <v>0.14050000000000001</v>
      </c>
      <c r="L7" s="7">
        <v>3.0499999999999999E-2</v>
      </c>
      <c r="M7" s="7">
        <v>0.32</v>
      </c>
      <c r="N7" s="7">
        <v>0.434</v>
      </c>
      <c r="O7" s="12"/>
      <c r="P7" s="12"/>
    </row>
    <row r="8" spans="2:18" ht="12" thickBot="1" x14ac:dyDescent="0.35">
      <c r="B8" s="50" t="s">
        <v>16</v>
      </c>
      <c r="C8" s="6">
        <v>720000.01</v>
      </c>
      <c r="D8" s="6">
        <v>1800000</v>
      </c>
      <c r="E8" s="7">
        <v>0.16</v>
      </c>
      <c r="F8" s="10">
        <v>35640</v>
      </c>
      <c r="H8" s="5" t="s">
        <v>15</v>
      </c>
      <c r="I8" s="7">
        <v>0.04</v>
      </c>
      <c r="J8" s="7">
        <v>3.5000000000000003E-2</v>
      </c>
      <c r="K8" s="7">
        <v>0.13639999999999999</v>
      </c>
      <c r="L8" s="7">
        <v>2.9600000000000001E-2</v>
      </c>
      <c r="M8" s="7">
        <v>0.32500000000000001</v>
      </c>
      <c r="N8" s="7">
        <v>0.434</v>
      </c>
      <c r="O8" s="12"/>
      <c r="P8" s="12"/>
    </row>
    <row r="9" spans="2:18" ht="12" thickBot="1" x14ac:dyDescent="0.35">
      <c r="B9" s="50" t="s">
        <v>17</v>
      </c>
      <c r="C9" s="6">
        <v>1800000.01</v>
      </c>
      <c r="D9" s="6">
        <v>3600000</v>
      </c>
      <c r="E9" s="7">
        <v>0.21</v>
      </c>
      <c r="F9" s="10">
        <v>125640</v>
      </c>
      <c r="H9" s="5" t="s">
        <v>16</v>
      </c>
      <c r="I9" s="7">
        <v>0.04</v>
      </c>
      <c r="J9" s="7">
        <v>3.5000000000000003E-2</v>
      </c>
      <c r="K9" s="7">
        <v>0.13639999999999999</v>
      </c>
      <c r="L9" s="7">
        <v>2.9600000000000001E-2</v>
      </c>
      <c r="M9" s="7">
        <v>0.32500000000000001</v>
      </c>
      <c r="N9" s="7">
        <v>0.434</v>
      </c>
      <c r="O9" s="12"/>
      <c r="P9" s="12"/>
    </row>
    <row r="10" spans="2:18" ht="15" thickBot="1" x14ac:dyDescent="0.45">
      <c r="B10" s="50" t="s">
        <v>18</v>
      </c>
      <c r="C10" s="14">
        <v>3600000.01</v>
      </c>
      <c r="D10" s="14">
        <v>4800000</v>
      </c>
      <c r="E10" s="15">
        <v>0.33</v>
      </c>
      <c r="F10" s="16">
        <v>648000</v>
      </c>
      <c r="G10" s="111">
        <f>(((4800000*E10)-F10)/4800000)</f>
        <v>0.19500000000000001</v>
      </c>
      <c r="H10" s="5" t="s">
        <v>17</v>
      </c>
      <c r="I10" s="7">
        <v>0.04</v>
      </c>
      <c r="J10" s="7">
        <v>3.5000000000000003E-2</v>
      </c>
      <c r="K10" s="7">
        <v>0.1285</v>
      </c>
      <c r="L10" s="7">
        <v>2.7799999999999998E-2</v>
      </c>
      <c r="M10" s="7">
        <v>0.33500000000000002</v>
      </c>
      <c r="N10" s="7">
        <v>0.434</v>
      </c>
      <c r="O10" s="12"/>
      <c r="P10" s="12"/>
    </row>
    <row r="11" spans="2:18" ht="12" thickBot="1" x14ac:dyDescent="0.35">
      <c r="B11" s="17"/>
      <c r="H11" s="13" t="s">
        <v>18</v>
      </c>
      <c r="I11" s="15">
        <v>0.35</v>
      </c>
      <c r="J11" s="15">
        <v>0.15</v>
      </c>
      <c r="K11" s="15">
        <v>0.1603</v>
      </c>
      <c r="L11" s="15">
        <v>3.4700000000000002E-2</v>
      </c>
      <c r="M11" s="15">
        <v>0</v>
      </c>
      <c r="N11" s="15">
        <v>0.30499999999999999</v>
      </c>
      <c r="O11" s="12"/>
      <c r="P11" s="12"/>
    </row>
    <row r="12" spans="2:18" x14ac:dyDescent="0.3">
      <c r="B12" s="17"/>
      <c r="H12" s="19"/>
      <c r="I12" s="20"/>
      <c r="J12" s="20"/>
      <c r="K12" s="20"/>
      <c r="L12" s="20"/>
      <c r="M12" s="20"/>
      <c r="N12" s="19"/>
      <c r="O12" s="12"/>
      <c r="P12" s="12"/>
      <c r="Q12" s="12"/>
      <c r="R12" s="12"/>
    </row>
    <row r="13" spans="2:18" ht="30" customHeight="1" x14ac:dyDescent="0.3">
      <c r="B13" s="134" t="s">
        <v>52</v>
      </c>
      <c r="C13" s="135"/>
      <c r="D13" s="135"/>
      <c r="E13" s="135"/>
      <c r="F13" s="135"/>
      <c r="G13" s="135"/>
      <c r="H13" s="136"/>
      <c r="I13" s="20"/>
      <c r="J13" s="20"/>
      <c r="K13" s="20"/>
      <c r="L13" s="20"/>
      <c r="M13" s="19"/>
      <c r="N13" s="12"/>
      <c r="O13" s="12"/>
      <c r="P13" s="12"/>
      <c r="Q13" s="12"/>
    </row>
    <row r="14" spans="2:18" ht="27" customHeight="1" x14ac:dyDescent="0.3">
      <c r="B14" s="137" t="s">
        <v>65</v>
      </c>
      <c r="C14" s="138"/>
      <c r="D14" s="138"/>
      <c r="E14" s="138"/>
      <c r="F14" s="138"/>
      <c r="G14" s="138"/>
      <c r="H14" s="139"/>
      <c r="I14" s="20"/>
      <c r="J14" s="20"/>
      <c r="K14" s="20"/>
      <c r="L14" s="20"/>
      <c r="M14" s="19"/>
      <c r="N14" s="12"/>
      <c r="O14" s="12"/>
      <c r="P14" s="12"/>
      <c r="Q14" s="12"/>
    </row>
    <row r="15" spans="2:18" ht="24" customHeight="1" x14ac:dyDescent="0.3">
      <c r="B15" s="137" t="s">
        <v>58</v>
      </c>
      <c r="C15" s="138"/>
      <c r="D15" s="138"/>
      <c r="E15" s="138"/>
      <c r="F15" s="138"/>
      <c r="G15" s="138"/>
      <c r="H15" s="139"/>
      <c r="I15" s="20"/>
      <c r="J15" s="20"/>
      <c r="K15" s="20"/>
      <c r="L15" s="20"/>
      <c r="M15" s="19"/>
      <c r="N15" s="12"/>
      <c r="O15" s="12"/>
      <c r="P15" s="12"/>
      <c r="Q15" s="12"/>
    </row>
    <row r="16" spans="2:18" ht="24" customHeight="1" x14ac:dyDescent="0.3">
      <c r="B16" s="140" t="s">
        <v>48</v>
      </c>
      <c r="C16" s="103" t="s">
        <v>8</v>
      </c>
      <c r="D16" s="103" t="s">
        <v>9</v>
      </c>
      <c r="E16" s="103" t="s">
        <v>38</v>
      </c>
      <c r="F16" s="103" t="s">
        <v>59</v>
      </c>
      <c r="G16" s="103" t="s">
        <v>12</v>
      </c>
      <c r="H16" s="103" t="s">
        <v>37</v>
      </c>
      <c r="I16" s="20"/>
      <c r="J16" s="20"/>
      <c r="K16" s="20"/>
      <c r="L16" s="20"/>
      <c r="M16" s="19"/>
      <c r="N16" s="12"/>
      <c r="O16" s="12"/>
      <c r="P16" s="12"/>
      <c r="Q16" s="12"/>
    </row>
    <row r="17" spans="2:18" ht="15" customHeight="1" x14ac:dyDescent="0.3">
      <c r="B17" s="141"/>
      <c r="C17" s="48">
        <v>6.0199999999999997E-2</v>
      </c>
      <c r="D17" s="48">
        <v>5.2600000000000001E-2</v>
      </c>
      <c r="E17" s="48">
        <v>0.1928</v>
      </c>
      <c r="F17" s="48">
        <v>4.1799999999999997E-2</v>
      </c>
      <c r="G17" s="48">
        <v>0.65259999999999996</v>
      </c>
      <c r="H17" s="49">
        <f>SUM(C17:G17)</f>
        <v>1</v>
      </c>
      <c r="I17" s="20"/>
      <c r="J17" s="20"/>
      <c r="K17" s="20"/>
      <c r="L17" s="20"/>
      <c r="M17" s="19"/>
      <c r="N17" s="12"/>
      <c r="O17" s="12"/>
      <c r="P17" s="12"/>
      <c r="Q17" s="12"/>
    </row>
    <row r="18" spans="2:18" x14ac:dyDescent="0.3">
      <c r="B18" s="17"/>
      <c r="C18" s="4"/>
      <c r="D18" s="4"/>
      <c r="E18" s="4"/>
      <c r="F18" s="4"/>
      <c r="G18" s="4"/>
      <c r="H18" s="19"/>
      <c r="I18" s="20"/>
      <c r="J18" s="51" t="s">
        <v>53</v>
      </c>
      <c r="K18" s="20"/>
      <c r="L18" s="52" t="s">
        <v>54</v>
      </c>
      <c r="M18" s="52" t="s">
        <v>55</v>
      </c>
      <c r="N18" s="19"/>
      <c r="O18" s="12"/>
      <c r="P18" s="12"/>
      <c r="Q18" s="12"/>
      <c r="R18" s="12"/>
    </row>
    <row r="19" spans="2:18" ht="12" thickBot="1" x14ac:dyDescent="0.35">
      <c r="H19" s="35"/>
      <c r="I19" s="35">
        <f>G21-3600000</f>
        <v>-3600000</v>
      </c>
      <c r="J19" s="53" t="s">
        <v>56</v>
      </c>
      <c r="K19" s="27" t="e">
        <f>I19/G22</f>
        <v>#DIV/0!</v>
      </c>
      <c r="L19" s="35" t="e">
        <f>I24*K19</f>
        <v>#DIV/0!</v>
      </c>
      <c r="M19" s="35" t="e">
        <f>I23*K19</f>
        <v>#DIV/0!</v>
      </c>
    </row>
    <row r="20" spans="2:18" ht="12" thickBot="1" x14ac:dyDescent="0.35">
      <c r="B20" s="1" t="s">
        <v>21</v>
      </c>
      <c r="F20" s="22"/>
      <c r="G20" s="23">
        <v>0</v>
      </c>
      <c r="H20" s="35"/>
      <c r="I20" s="35">
        <f>G22-I19</f>
        <v>3600000</v>
      </c>
      <c r="J20" s="53" t="s">
        <v>57</v>
      </c>
      <c r="K20" s="27" t="e">
        <f>I20/G22</f>
        <v>#DIV/0!</v>
      </c>
      <c r="L20" s="35" t="e">
        <f>I24*K20</f>
        <v>#DIV/0!</v>
      </c>
      <c r="M20" s="35" t="e">
        <f>I23*K20</f>
        <v>#DIV/0!</v>
      </c>
      <c r="Q20" s="23"/>
    </row>
    <row r="21" spans="2:18" ht="12" thickBot="1" x14ac:dyDescent="0.35">
      <c r="B21" s="1" t="s">
        <v>24</v>
      </c>
      <c r="F21" s="22"/>
      <c r="G21" s="23">
        <v>0</v>
      </c>
      <c r="K21" s="25"/>
      <c r="L21" s="54"/>
      <c r="M21" s="55"/>
      <c r="N21" s="55"/>
    </row>
    <row r="22" spans="2:18" ht="12" thickBot="1" x14ac:dyDescent="0.35">
      <c r="B22" s="1" t="s">
        <v>25</v>
      </c>
      <c r="D22" s="22"/>
      <c r="E22" s="24"/>
      <c r="F22" s="22"/>
      <c r="G22" s="23">
        <v>0</v>
      </c>
      <c r="J22" s="2" t="s">
        <v>60</v>
      </c>
      <c r="K22" s="25"/>
      <c r="L22" s="54"/>
    </row>
    <row r="23" spans="2:18" ht="12" thickBot="1" x14ac:dyDescent="0.35">
      <c r="B23" s="1" t="s">
        <v>26</v>
      </c>
      <c r="F23" s="2"/>
      <c r="G23" s="26">
        <f>IF($G$20=0,$E$5,(IF(AND($G$20&gt;=$C$5,$G$20&lt;=$D$5),((($G$20*$E$5)-$F$5)/$G$20),IF(AND($G$20&gt;=$C$6,$G$20&lt;=$D$6),((($G$20*$E$6)-$F$6)/$G$20),IF(AND($G$20&gt;=$C$7,$G$20&lt;=$D$7),((($G$20*$E$7)-$F$7)/$G$20),IF(AND($G$20&gt;=$C$8,$G$20&lt;=$D$8),((($G$20*$E$8)-$F$8)/$G$20),IF(AND($G$20&gt;=$C$9,$G$20&lt;=$D$9),((($G$20*$E$9)-$F$9)/$G$20),IF(AND($G$20&gt;=$C$10),((($G$20*$E$10)-$F$10)/$G$20)))))))))</f>
        <v>0.06</v>
      </c>
      <c r="H23" s="35"/>
      <c r="I23" s="35">
        <f>G21-4800000</f>
        <v>-4800000</v>
      </c>
      <c r="J23" s="53" t="s">
        <v>56</v>
      </c>
      <c r="K23" s="27" t="e">
        <f>I23/G22</f>
        <v>#DIV/0!</v>
      </c>
      <c r="Q23" s="1" t="s">
        <v>27</v>
      </c>
      <c r="R23" s="1" t="s">
        <v>28</v>
      </c>
    </row>
    <row r="24" spans="2:18" ht="12" thickBot="1" x14ac:dyDescent="0.35">
      <c r="F24" s="2"/>
      <c r="G24" s="60">
        <f>(((4800000*E10)-F10)/4800000)</f>
        <v>0.19500000000000001</v>
      </c>
      <c r="H24" s="35"/>
      <c r="I24" s="35">
        <f>G22-I23</f>
        <v>4800000</v>
      </c>
      <c r="J24" s="53" t="s">
        <v>57</v>
      </c>
      <c r="K24" s="27" t="e">
        <f>I24/G22</f>
        <v>#DIV/0!</v>
      </c>
      <c r="L24" s="35"/>
      <c r="Q24" s="28"/>
      <c r="R24" s="23"/>
    </row>
    <row r="25" spans="2:18" ht="12" thickBot="1" x14ac:dyDescent="0.35">
      <c r="H25" s="35"/>
      <c r="J25" s="27"/>
      <c r="P25" s="1" t="s">
        <v>71</v>
      </c>
      <c r="R25" s="23"/>
    </row>
    <row r="26" spans="2:18" ht="12" thickBot="1" x14ac:dyDescent="0.35">
      <c r="B26" s="1" t="s">
        <v>29</v>
      </c>
      <c r="F26" s="22"/>
      <c r="G26" s="23">
        <v>0</v>
      </c>
      <c r="H26" s="35"/>
      <c r="I26" s="35"/>
      <c r="P26" s="1" t="s">
        <v>70</v>
      </c>
      <c r="R26" s="23"/>
    </row>
    <row r="27" spans="2:18" ht="12" thickBot="1" x14ac:dyDescent="0.35">
      <c r="B27" s="1" t="s">
        <v>31</v>
      </c>
      <c r="F27" s="22"/>
      <c r="G27" s="23">
        <v>0</v>
      </c>
      <c r="H27" s="35"/>
      <c r="I27" s="35"/>
      <c r="R27" s="29"/>
    </row>
    <row r="28" spans="2:18" ht="12" thickBot="1" x14ac:dyDescent="0.35">
      <c r="B28" s="1" t="s">
        <v>32</v>
      </c>
      <c r="F28" s="22"/>
      <c r="G28" s="23">
        <v>0</v>
      </c>
      <c r="H28" s="35"/>
      <c r="I28" s="65"/>
    </row>
    <row r="29" spans="2:18" ht="12" thickBot="1" x14ac:dyDescent="0.35">
      <c r="B29" s="1" t="s">
        <v>26</v>
      </c>
      <c r="G29" s="26">
        <f>IF($G$26=0,$E$5,IF(AND($G$26&gt;=$C$5,$G$26&lt;=$D$5),((($G$26*$E$5)-$F$5)/$G$26),IF(AND($G$26&gt;=$C$6,$G$26&lt;=$D$6),((($G$26*$E$6)-$F$6)/$G$26),IF(AND($G$26&gt;=$C$7,$G$26&lt;=$D$7),((($G$26*$E$7)-$F$7)/$G$26),IF(AND($G$26&gt;=$C$8,$G$26&lt;=$D$8),((($G$26*$E$8)-$F$8)/$G$26),IF(AND($G$26&gt;=$C$9,$G$26&lt;=$D$9),((($G$26*$E$9)-$F$9)/$G$26),IF($G$26&gt;=$C$10,((($G$26*$E$10)-$F$10)/$G$26))))))))</f>
        <v>0.06</v>
      </c>
      <c r="J29" s="30"/>
    </row>
    <row r="30" spans="2:18" x14ac:dyDescent="0.3">
      <c r="E30" s="66"/>
      <c r="J30" s="30"/>
    </row>
    <row r="31" spans="2:18" x14ac:dyDescent="0.3">
      <c r="C31" s="32"/>
      <c r="E31" s="25"/>
      <c r="F31" s="25"/>
      <c r="G31" s="25"/>
      <c r="H31" s="25"/>
      <c r="I31" s="25"/>
    </row>
    <row r="32" spans="2:18" x14ac:dyDescent="0.3">
      <c r="B32" s="85" t="s">
        <v>35</v>
      </c>
      <c r="C32" s="85"/>
      <c r="D32" s="85"/>
      <c r="E32" s="106"/>
      <c r="F32" s="106"/>
      <c r="G32" s="106"/>
      <c r="H32" s="106"/>
      <c r="I32" s="106"/>
      <c r="J32" s="85"/>
    </row>
    <row r="33" spans="2:17" x14ac:dyDescent="0.3">
      <c r="C33" s="35"/>
      <c r="D33" s="4"/>
      <c r="E33" s="40"/>
      <c r="F33" s="40"/>
      <c r="G33" s="40"/>
      <c r="H33" s="40"/>
      <c r="I33" s="40"/>
      <c r="J33" s="4"/>
    </row>
    <row r="34" spans="2:17" x14ac:dyDescent="0.3">
      <c r="B34" s="93" t="s">
        <v>36</v>
      </c>
      <c r="C34" s="107"/>
      <c r="D34" s="94" t="s">
        <v>37</v>
      </c>
      <c r="E34" s="94" t="s">
        <v>8</v>
      </c>
      <c r="F34" s="94" t="s">
        <v>9</v>
      </c>
      <c r="G34" s="94" t="s">
        <v>38</v>
      </c>
      <c r="H34" s="94" t="s">
        <v>39</v>
      </c>
      <c r="I34" s="94" t="s">
        <v>12</v>
      </c>
      <c r="J34" s="94" t="s">
        <v>51</v>
      </c>
      <c r="K34" s="27"/>
    </row>
    <row r="35" spans="2:17" ht="45" customHeight="1" x14ac:dyDescent="0.3">
      <c r="B35" s="122" t="s">
        <v>40</v>
      </c>
      <c r="C35" s="125">
        <f>G22</f>
        <v>0</v>
      </c>
      <c r="D35" s="128">
        <f>SUM(E35:I38)+J38</f>
        <v>0</v>
      </c>
      <c r="E35" s="131">
        <f>IF((G21-G22)&gt;(3600000+(3600000*0.2)),E33,IF($C$35=0,0,IF($G$20=0,$E$5*$I$6,IF(IF(AND($G$20&gt;=$C$5,$G$20&lt;=$D$5),$E$5*$M$6,IF(AND($G$20&gt;=$C$6,$G$20&lt;=$D$6),((($G$20*$E$6)-$F$6)/$G$20)*$M$7,IF(AND($G$20&gt;=$C$7,$G$20&lt;=$D$7),((($G$20*$E$7)-$F$7)/$G$20)*$M$8,IF(AND($G$20&gt;=$C$8,$G$20&lt;=$D$8),((($G$20*$E$8)-$F$8)/$G$20)*$M$9,IF(AND($G$20&gt;=$C$9,$G$20&lt;=$D$9),((($G$20*$E$9)-$F$9)/$G$20)*$M$10,IF($G$20&gt;=$C$10,((($G$20*$E$9)-$F$9)/$G$20)*$M$10,IF(AND($G$21-$G$22)&gt;3600000,(((3600000*$E$9)-$F$9)/3600000)*$M$10)))))))&gt;5%,IF(AND($G$20&gt;=$C$5,$G$20&lt;=$D$5),($E$5*$I$6)+($L$38*$C$17),IF(AND($G$20&gt;=$C$6,$G$20&lt;=$D$6),(((($G$20*$E$6)-$F$6)/$G$20)*$I$7)+($L$38*$C$17),IF(AND($G$20&gt;=$C$7,$G$20&lt;=$D$7),(((($G$20*$E$7)-$F$7)/$G$20)*$I$8)+($L$38*$C$17),IF(AND($G$20&gt;=$C$8,$G$20&lt;=$D$8),(((($G$20*$E$8)-$F$8)/$G$20)*$I$9)+($L$38*$C$17),IF(AND($G$20&gt;=$C$9,$G$20&lt;=$D$9),(((($G$20*$E$9)-$F$9)/$G$20)*$I$10)+($L$38*$C$17),IF($G$20&gt;=$C$10,(((($G$20*$E$10)-$F$10)/$G$20)*$I$11)+($L$38*$C$17))))))),IF(AND($G$20&gt;=$C$5,$G$20&lt;=$D$5),($E$5*$I$6),IF(AND($G$20&gt;=$C$6,$G$20&lt;=$D$6),(((($G$20*$E$6)-$F$6)/$G$20)*$I$7),IF(AND($G$20&gt;=$C$7,$G$20&lt;=$D$7),(((($G$20*$E$7)-$F$7)/$G$20)*$I$8),IF(AND($G$20&gt;=$C$8,$G$20&lt;=$D$8),(((($G$20*$E$8)-$F$8)/$G$20)*$I$9),IF(AND($G$20&gt;=$C$9,$G$20&lt;=$D$9),(((($G$20*$E$9)-$F$9)/$G$20)*$I$10),IF($G$20&gt;=$C$10,(((($G$20*$E$10)-$F$10)/$G$20)*$I$11)))))))))))</f>
        <v>0</v>
      </c>
      <c r="F35" s="131">
        <f>IF((G21-G22)&gt;(3600000+(3600000*0.2)),F33,IF($C$35=0,0,IF($G$20=0,$E$5*$J$6,IF(IF(AND($G$20&gt;=$C$5,$G$20&lt;=$D$5),$E$5*$M$6,IF(AND($G$20&gt;=$C$6,$G$20&lt;=$D$6),((($G$20*$E$6)-$F$6)/$G$20)*$M$7,IF(AND($G$20&gt;=$C$7,$G$20&lt;=$D$7),((($G$20*$E$7)-$F$7)/$G$20)*$M$8,IF(AND($G$20&gt;=$C$8,$G$20&lt;=$D$8),((($G$20*$E$8)-$F$8)/$G$20)*$M$9,IF(AND($G$20&gt;=$C$9,$G$20&lt;=$D$9),((($G$20*$E$9)-$F$9)/$G$20)*$M$10,IF($G$20&gt;=$C$10,((($G$20*$E$9)-$F$9)/$G$20)*$M$10,IF(AND($G$21-$G$22)&gt;3600000,(((3600000*$E$9)-$F$9)/3600000)*$M$10)))))))&gt;5%,IF(AND($G$20&gt;=$C$5,$G$20&lt;=$D$5),($E$5*$J$6)+($L$38*$D$17),IF(AND($G$20&gt;=$C$6,$G$20&lt;=$D$6),(((($G$20*$E$6)-$F$6)/$G$20)*$J$7)+($L$38*$D$17),IF(AND($G$20&gt;=$C$7,$G$20&lt;=$D$7),(((($G$20*$E$7)-$F$7)/$G$20)*$J$8)+($L$38*$D$17),IF(AND($G$20&gt;=$C$8,$G$20&lt;=$D$8),(((($G$20*$E$8)-$F$8)/$G$20)*$J$9)+($L$38*$D$17),IF(AND($G$20&gt;=$C$9,$G$20&lt;=$D$9),(((($G$20*$E$9)-$F$9)/$G$20)*$J$10)+($L$38*$D$17),IF($G$20&gt;=$C$10,(((($G$20*$E$10)-$F$10)/$G$20)*$J$11)+($L$38*$D$17))))))),IF(AND($G$20&gt;=$C$5,$G$20&lt;=$D$5),($E$5*$J$6),IF(AND($G$20&gt;=$C$6,$G$20&lt;=$D$6),(((($G$20*$E$6)-$F$6)/$G$20)*$J$7),IF(AND($G$20&gt;=$C$7,$G$20&lt;=$D$7),(((($G$20*$E$7)-$F$7)/$G$20)*$J$8),IF(AND($G$20&gt;=$C$8,$G$20&lt;=$D$8),(((($G$20*$E$8)-$F$8)/$G$20)*$J$9),IF(AND($G$20&gt;=$C$9,$G$20&lt;=$D$9),(((($G$20*$E$9)-$F$9)/$G$20)*$J$10),IF($G$20&gt;=$C$10,(((($G$20*$E$10)-$F$10)/$G$20)*$J$11)))))))))))</f>
        <v>0</v>
      </c>
      <c r="G35" s="131">
        <f>IF((G21-G22)&gt;(3600000+(3600000*0.2)),G33,IF($C$35=0,0,IF($G$20=0,$E$5*$K$6,IF(IF(AND($G$20&gt;=$C$5,$G$20&lt;=$D$5),$E$5*$M$6,IF(AND($G$20&gt;=$C$6,$G$20&lt;=$D$6),((($G$20*$E$6)-$F$6)/$G$20)*$M$7,IF(AND($G$20&gt;=$C$7,$G$20&lt;=$D$7),((($G$20*$E$7)-$F$7)/$G$20)*$M$8,IF(AND($G$20&gt;=$C$8,$G$20&lt;=$D$8),((($G$20*$E$8)-$F$8)/$G$20)*$M$9,IF(AND($G$20&gt;=$C$9,$G$20&lt;=$D$9),((($G$20*$E$9)-$F$9)/$G$20)*$M$10,IF($G$20&gt;=$C$10,((($G$20*$E$9)-$F$9)/$G$20)*$M$10,IF(AND($G$21-$G$22)&gt;3600000,(((3600000*$E$9)-$F$9)/3600000)*$M$10)))))))&gt;5%,IF(AND($G$20&gt;=$C$5,$G$20&lt;=$D$5),($E$5*$K$6)+($L$38*$E$17),IF(AND($G$20&gt;=$C$6,$G$20&lt;=$D$6),(((($G$20*$E$6)-$F$6)/$G$20)*$K$7)+($L$38*$E$17),IF(AND($G$20&gt;=$C$7,$G$20&lt;=$D$7),(((($G$20*$E$7)-$F$7)/$G$20)*$K$8)+($L$38*$E$17),IF(AND($G$20&gt;=$C$8,$G$20&lt;=$D$8),(((($G$20*$E$8)-$F$8)/$G$20)*$K$9)+($L$38*$E$17),IF(AND($G$20&gt;=$C$9,$G$20&lt;=$D$9),(((($G$20*$E$9)-$F$9)/$G$20)*$K$10)+($L$38*$E$17),IF($G$20&gt;=$C$10,(((($G$20*$E$10)-$F$10)/$G$20)*$K$11)+($L$38*$E$17))))))),IF(AND($G$20&gt;=$C$5,$G$20&lt;=$D$5),($E$5*$K$6),IF(AND($G$20&gt;=$C$6,$G$20&lt;=$D$6),(((($G$20*$E$6)-$F$6)/$G$20)*$K$7),IF(AND($G$20&gt;=$C$7,$G$20&lt;=$D$7),(((($G$20*$E$7)-$F$7)/$G$20)*$K$8),IF(AND($G$20&gt;=$C$8,$G$20&lt;=$D$8),(((($G$20*$E$8)-$F$8)/$G$20)*$K$9),IF(AND($G$20&gt;=$C$9,$G$20&lt;=$D$9),(((($G$20*$E$9)-$F$9)/$G$20)*$K$10),IF($G$20&gt;=$C$10,(((($G$20*$E$10)-$F$10)/$G$20)*$K$11)))))))))))</f>
        <v>0</v>
      </c>
      <c r="H35" s="131">
        <f>IF((G21-G22)&gt;(3600000+(3600000*0.2)),H33,IF($C$35=0,0,IF($G$20=0,$E$5*$L$6,IF(IF(AND($G$20&gt;=$C$5,$G$20&lt;=$D$5),$E$5*$M$6,IF(AND($G$20&gt;=$C$6,$G$20&lt;=$D$6),((($G$20*$E$6)-$F$6)/$G$20)*$M$7,IF(AND($G$20&gt;=$C$7,$G$20&lt;=$D$7),((($G$20*$E$7)-$F$7)/$G$20)*$M$8,IF(AND($G$20&gt;=$C$8,$G$20&lt;=$D$8),((($G$20*$E$8)-$F$8)/$G$20)*$M$9,IF(AND($G$20&gt;=$C$9,$G$20&lt;=$D$9),((($G$20*$E$9)-$F$9)/$G$20)*$M$10,IF($G$20&gt;=$C$10,((($G$20*$E$9)-$F$9)/$G$20)*$M$10,IF(AND($G$21-$G$22)&gt;3600000,(((3600000*$E$9)-$F$9)/3600000)*$M$10)))))))&gt;5%,IF(AND($G$20&gt;=$C$5,$G$20&lt;=$D$5),($E$5*$L$6)+($L$38*$F$17),IF(AND($G$20&gt;=$C$6,$G$20&lt;=$D$6),(((($G$20*$E$6)-$F$6)/$G$20)*$L$7)+($L$38*$F$17),IF(AND($G$20&gt;=$C$7,$G$20&lt;=$D$7),(((($G$20*$E$7)-$F$7)/$G$20)*$L$8)+($L$38*$F$17),IF(AND($G$20&gt;=$C$8,$G$20&lt;=$D$8),(((($G$20*$E$8)-$F$8)/$G$20)*$L$9)+($L$38*$F$17),IF(AND($G$20&gt;=$C$9,$G$20&lt;=$D$9),(((($G$20*$E$9)-$F$9)/$G$20)*$L$10)+($L$38*$F$17),IF($G$20&gt;=$C$10,(((($G$20*$E$10)-$F$10)/$G$20)*$L$11)+($L$38*$F$17))))))),IF(AND($G$20&gt;=$C$5,$G$20&lt;=$D$5),($E$5*$L$6),IF(AND($G$20&gt;=$C$6,$G$20&lt;=$D$6),(((($G$20*$E$6)-$F$6)/$G$20)*$L$7),IF(AND($G$20&gt;=$C$7,$G$20&lt;=$D$7),(((($G$20*$E$7)-$F$7)/$G$20)*$L$8),IF(AND($G$20&gt;=$C$8,$G$20&lt;=$D$8),(((($G$20*$E$8)-$F$8)/$G$20)*$L$9),IF(AND($G$20&gt;=$C$9,$G$20&lt;=$D$9),(((($G$20*$E$9)-$F$9)/$G$20)*$L$10),IF($G$20&gt;=$C$10,(((($G$20*$E$10)-$F$10)/$G$20)*$L$11)))))))))))</f>
        <v>0</v>
      </c>
      <c r="I35" s="131">
        <f>IF((G21-G22)&gt;(3600000+(3600000*0.2)),I33,IF($C$35=0,0,IF($G$20=0,$E$5*$N$6,IF(IF(AND($G$20&gt;=$C$5,$G$20&lt;=$D$5),$E$5*$M$6,IF(AND($G$20&gt;=$C$6,$G$20&lt;=$D$6),((($G$20*$E$6)-$F$6)/$G$20)*$M$7,IF(AND($G$20&gt;=$C$7,$G$20&lt;=$D$7),((($G$20*$E$7)-$F$7)/$G$20)*$M$8,IF(AND($G$20&gt;=$C$8,$G$20&lt;=$D$8),((($G$20*$E$8)-$F$8)/$G$20)*$M$9,IF(AND($G$20&gt;=$C$9,$G$20&lt;=$D$9),((($G$20*$E$9)-$F$9)/$G$20)*$M$10,IF($G$20&gt;=$C$10,((($G$20*$E$9)-$F$9)/$G$20)*$M$10,IF(AND($G$21-$G$22)&gt;3600000,(((3600000*$E$9)-$F$9)/3600000)*$M$10)))))))&gt;5%,IF(AND($G$20&gt;=$C$5,$G$20&lt;=$D$5),($E$5*$N$6)+($L$38*$G$17),IF(AND($G$20&gt;=$C$6,$G$20&lt;=$D$6),(((($G$20*$E$6)-$F$6)/$G$20)*$N$7)+($L$38*$G$17),IF(AND($G$20&gt;=$C$7,$G$20&lt;=$D$7),(((($G$20*$E$7)-$F$7)/$G$20)*$N$8)+($L$38*$G$17),IF(AND($G$20&gt;=$C$8,$G$20&lt;=$D$8),(((($G$20*$E$8)-$F$8)/$G$20)*$N$9)+($L$38*$G$17),IF(AND($G$20&gt;=$C$9,$G$20&lt;=$D$9),(((($G$20*$E$9)-$F$9)/$G$20)*$N$10)+($L$38*$G$17),IF($G$20&gt;=$C$10,(((($G$20*$E$10)-$F$10)/$G$20)*$N$11)+($L$38*$G$17))))))),IF(AND($G$20&gt;=$C$5,$G$20&lt;=$D$5),($E$5*$N$6),IF(AND($G$20&gt;=$C$6,$G$20&lt;=$D$6),(((($G$20*$E$6)-$F$6)/$G$20)*$N$7),IF(AND($G$20&gt;=$C$7,$G$20&lt;=$D$7),(((($G$20*$E$7)-$F$7)/$G$20)*$N$8),IF(AND($G$20&gt;=$C$8,$G$20&lt;=$D$8),(((($G$20*$E$8)-$F$8)/$G$20)*$N$9),IF(AND($G$20&gt;=$C$9,$G$20&lt;=$D$9),(((($G$20*$E$9)-$F$9)/$G$20)*$N$10),IF($G$20&gt;=$C$10,(((($G$20*$E$10)-$F$10)/$G$20)*$N$11)))))))))))</f>
        <v>0</v>
      </c>
      <c r="J35" s="56" t="s">
        <v>41</v>
      </c>
      <c r="K35" s="27"/>
      <c r="P35" s="55"/>
    </row>
    <row r="36" spans="2:17" x14ac:dyDescent="0.3">
      <c r="B36" s="123"/>
      <c r="C36" s="126"/>
      <c r="D36" s="129"/>
      <c r="E36" s="132"/>
      <c r="F36" s="132"/>
      <c r="G36" s="132"/>
      <c r="H36" s="132"/>
      <c r="I36" s="132"/>
      <c r="J36" s="31">
        <f>G22</f>
        <v>0</v>
      </c>
      <c r="K36" s="27" t="e">
        <f>J36/G22</f>
        <v>#DIV/0!</v>
      </c>
      <c r="L36" s="25" t="s">
        <v>61</v>
      </c>
      <c r="M36" s="25"/>
      <c r="N36" s="25"/>
      <c r="O36" s="25"/>
      <c r="P36" s="32"/>
      <c r="Q36" s="32"/>
    </row>
    <row r="37" spans="2:17" ht="23.15" x14ac:dyDescent="0.3">
      <c r="B37" s="123"/>
      <c r="C37" s="126"/>
      <c r="D37" s="129"/>
      <c r="E37" s="132"/>
      <c r="F37" s="132"/>
      <c r="G37" s="132"/>
      <c r="H37" s="132"/>
      <c r="I37" s="132"/>
      <c r="J37" s="56" t="s">
        <v>42</v>
      </c>
      <c r="K37" s="57" t="s">
        <v>62</v>
      </c>
      <c r="L37" s="57" t="s">
        <v>63</v>
      </c>
      <c r="M37" s="58" t="s">
        <v>8</v>
      </c>
      <c r="N37" s="58" t="s">
        <v>9</v>
      </c>
      <c r="O37" s="58" t="s">
        <v>38</v>
      </c>
      <c r="P37" s="58" t="s">
        <v>64</v>
      </c>
      <c r="Q37" s="58" t="s">
        <v>12</v>
      </c>
    </row>
    <row r="38" spans="2:17" x14ac:dyDescent="0.3">
      <c r="B38" s="124"/>
      <c r="C38" s="127"/>
      <c r="D38" s="130"/>
      <c r="E38" s="133"/>
      <c r="F38" s="133"/>
      <c r="G38" s="133"/>
      <c r="H38" s="133"/>
      <c r="I38" s="133"/>
      <c r="J38" s="42">
        <f>IF($C$35=0,0,IF(AND(IF(AND(($G$21-$G$22)&lt;3600000,G20&gt;3600000),((($G$20*$E$9)-$F$9)/$G$20)*$M$10,IF(AND(($G$21-$G$22)&gt;=3600000.01),0,IF(G20=0,$E$5*$M$6,IF($G$20=0,$E$5*$M$6,IF(AND($G$20&gt;=$C$5,$G$20&lt;=$D$5),$E$5*$M$6,IF(AND($G$20&gt;=$C$6,$G$20&lt;=$D$6),((($G$20*$E$6)-$F$6)/$G$20)*$M$7,IF(AND($G$20&gt;=$C$7,$G$20&lt;=$D$7),((($G$20*$E$7)-$F$7)/$G$20)*$M$8,IF(AND($G$20&gt;=$C$8,$G$20&lt;=$D$8),((($G$20*$E$8)-$F$8)/$G$20)*$M$9,IF(AND($G$20&gt;=$C$9,$G$20&lt;=$D$9),((($G$20*$E$9)-$F$9)/$G$20)*$M$10,IF($G$20&gt;=$C$10,((($G$20*$E$9)-$F$9)/$G$20)*$M$10))))))))))&gt;5%),5%,IF(($G$21-$G$22)&gt;=3600000.01,0,IF(AND($G$20&gt;=$C$5,$G$20&lt;=$D$5),$E$5*$M$6,IF(AND($G$20&gt;=$C$6,$G$20&lt;=$D$6),((($G$20*$E$6)-$F$6)/$G$20)*$M$7,IF(AND($G$20&gt;=$C$7,$G$20&lt;=$D$7),((($G$20*$E$7)-$F$7)/$G$20)*$M$8,IF(AND($G$20&gt;=$C$8,$G$20&lt;=$D$8),((($G$20*$E$8)-$F$8)/$G$20)*$M$9,IF(AND($G$20&gt;=$C$9,$G$20&lt;=$D$9),((($G$20*$E$9)-$F$9)/$G$20)*$M$10,IF($G$20&gt;=$C$10,((($G$20*$E$9)-$F$9)/$G$20)*$M$10)))))))))</f>
        <v>0</v>
      </c>
      <c r="K38" s="59">
        <f>IF($G$21-$G$22&gt;4320000,0,IF($C$35=0,0,IF(AND(($G$21-$G$22)&lt;3600000,G20&gt;3600000),(((($G$20*$E$9)-$F$9)/$G$20)*$M$10),IF(AND(($G$21-$G$22)&gt;=3600000.01),0,IF($G$20=0,$E$5*$M$6,IF(AND($G$20&gt;=$C$5,$G$20&lt;=$D$5),$E$5*$M$6,IF(AND($G$20&gt;=$C$6,$G$20&lt;=$D$6),((($G$20*$E$6)-$F$6)/$G$20)*$M$7,IF(AND($G$20&gt;=$C$7,$G$20&lt;=$D$7),((($G$20*$E$7)-$F$7)/$G$20)*$M$8,IF(AND($G$20&gt;=$C$8,$G$20&lt;=$D$8),((($G$20*$E$8)-$F$8)/$G$20)*$M$9,IF(AND($G$20&gt;=$C$9,$G$20&lt;=$D$9),((($G$20*$E$9)-$F$9)/$G$20)*$M$10,IF(AND($G$20&gt;=$C$10,$G$20&gt;=$D$10),((($G$20*$E$9)-$F$9)/$G$20)*$M$10)))))))))))</f>
        <v>0</v>
      </c>
      <c r="L38" s="59">
        <f>K38-J38</f>
        <v>0</v>
      </c>
      <c r="M38" s="40">
        <f>L38*C17</f>
        <v>0</v>
      </c>
      <c r="N38" s="40">
        <f>L38*D17</f>
        <v>0</v>
      </c>
      <c r="O38" s="40">
        <f>L38*E17</f>
        <v>0</v>
      </c>
      <c r="P38" s="40">
        <f>L38*F17</f>
        <v>0</v>
      </c>
      <c r="Q38" s="40">
        <f>L38*G17</f>
        <v>0</v>
      </c>
    </row>
    <row r="39" spans="2:17" x14ac:dyDescent="0.3">
      <c r="B39" s="84"/>
      <c r="C39" s="107"/>
      <c r="D39" s="84">
        <f>SUM(E39:J39)</f>
        <v>0</v>
      </c>
      <c r="E39" s="84">
        <f>$C$35*E35</f>
        <v>0</v>
      </c>
      <c r="F39" s="84">
        <f>$C$35*F35</f>
        <v>0</v>
      </c>
      <c r="G39" s="84">
        <f>$C$35*G35</f>
        <v>0</v>
      </c>
      <c r="H39" s="84">
        <f>$C$35*H35</f>
        <v>0</v>
      </c>
      <c r="I39" s="84">
        <f>$C$35*I35</f>
        <v>0</v>
      </c>
      <c r="J39" s="84">
        <f>J36*J38</f>
        <v>0</v>
      </c>
      <c r="K39" s="60"/>
      <c r="L39" s="59"/>
      <c r="M39" s="61">
        <f>E33+M38</f>
        <v>0</v>
      </c>
      <c r="N39" s="61">
        <f>F33+N38</f>
        <v>0</v>
      </c>
      <c r="O39" s="61">
        <f>G33+O38</f>
        <v>0</v>
      </c>
      <c r="P39" s="61">
        <f>H33+P38</f>
        <v>0</v>
      </c>
      <c r="Q39" s="61">
        <f>I33+Q38</f>
        <v>0</v>
      </c>
    </row>
    <row r="40" spans="2:17" x14ac:dyDescent="0.3">
      <c r="B40" s="38"/>
      <c r="C40" s="104"/>
      <c r="D40" s="38"/>
      <c r="E40" s="38"/>
      <c r="F40" s="38"/>
      <c r="G40" s="38"/>
      <c r="H40" s="38"/>
      <c r="I40" s="38"/>
      <c r="J40" s="38"/>
      <c r="K40" s="60"/>
      <c r="L40" s="59"/>
      <c r="M40" s="61"/>
      <c r="N40" s="61"/>
      <c r="O40" s="61"/>
      <c r="P40" s="61"/>
      <c r="Q40" s="61"/>
    </row>
    <row r="41" spans="2:17" x14ac:dyDescent="0.3">
      <c r="B41" s="85" t="s">
        <v>43</v>
      </c>
      <c r="C41" s="85"/>
      <c r="D41" s="108"/>
      <c r="E41" s="108"/>
      <c r="F41" s="108"/>
      <c r="G41" s="108"/>
      <c r="H41" s="108"/>
      <c r="I41" s="108"/>
      <c r="J41" s="86"/>
    </row>
    <row r="42" spans="2:17" x14ac:dyDescent="0.3">
      <c r="B42" s="2"/>
      <c r="C42" s="2"/>
      <c r="D42" s="105"/>
      <c r="E42" s="105"/>
      <c r="F42" s="105"/>
      <c r="G42" s="105"/>
      <c r="H42" s="105"/>
      <c r="I42" s="105"/>
      <c r="J42" s="100"/>
    </row>
    <row r="43" spans="2:17" x14ac:dyDescent="0.3">
      <c r="B43" s="33"/>
      <c r="D43" s="35"/>
      <c r="E43" s="94" t="s">
        <v>8</v>
      </c>
      <c r="F43" s="94" t="s">
        <v>9</v>
      </c>
      <c r="G43" s="94" t="s">
        <v>38</v>
      </c>
      <c r="H43" s="94" t="s">
        <v>39</v>
      </c>
      <c r="I43" s="94" t="s">
        <v>12</v>
      </c>
      <c r="J43" s="94" t="s">
        <v>51</v>
      </c>
    </row>
    <row r="44" spans="2:17" ht="23.15" x14ac:dyDescent="0.3">
      <c r="B44" s="109" t="s">
        <v>44</v>
      </c>
      <c r="C44" s="73">
        <f>IF($G$27&gt;4800000,4800000,G28)</f>
        <v>0</v>
      </c>
      <c r="D44" s="74">
        <f>SUM(E44:J44)</f>
        <v>0</v>
      </c>
      <c r="E44" s="75">
        <f>IF(G28=0,0,IF(AND($G$26&gt;=$C$5,$G$26&lt;=$D$5),($E$5*$I$6),IF(AND($G$26&gt;=$C$6,$G$26&lt;=$D$6),(((($G$26*$E$6)-$F$6)/$G$26)*$I$7),IF(AND($G$26&gt;=$C$7,$G$26&lt;=$D$7),(((($G$26*$E$7)-$F$7)/$G$26)*$I$8),IF(AND($G$26&gt;=$C$8,$G$26&lt;=$D$8),(((($G$26*$E$8)-$F$8)/$G$26)*$I$9),IF(AND($G$26&gt;=$C$9,$G$26&lt;=$D$9),(((($G$26*$E$9)-$F$9)/$G$26)*$I$10),IF($G$26&gt;=$C$10,(((($G$26*$E$10)-$F$10)/$G$26)*$I$11))))))))</f>
        <v>0</v>
      </c>
      <c r="F44" s="75">
        <f>IF(G28=0,0,IF(AND($G$26&gt;=$C$5,$G$26&lt;=$D$5),($E$5*$J$6),IF(AND($G$26&gt;=$C$6,$G$26&lt;=$D$6),(((($G$26*$E$6)-$F$6)/$G$26)*$J$7),IF(AND($G$26&gt;=$C$7,$G$26&lt;=$D$7),(((($G$26*$E$7)-$F$7)/$G$26)*$J$8),IF(AND($G$26&gt;=$C$8,$G$26&lt;=$D$8),(((($G$26*$E$8)-$F$8)/$G$26)*$J$9),IF(AND($G$26&gt;=$C$9,$G$26&lt;=$D$9),(((($G$26*$E$9)-$F$9)/$G$26)*$J$10),IF($G$26&gt;=$C$10,(((($G$26*$E$10)-$F$10)/$G$26)*$J$11))))))))</f>
        <v>0</v>
      </c>
      <c r="G44" s="75">
        <f>IF($G$28&gt;=0,0)</f>
        <v>0</v>
      </c>
      <c r="H44" s="75">
        <f>IF($G$28&gt;=0,0)</f>
        <v>0</v>
      </c>
      <c r="I44" s="75">
        <f>IF(G28=0,0,IF(AND($G$26&gt;=$C$5,$G$26&lt;=$D$5),($E$5*$N$6),IF(AND($G$26&gt;=$C$6,$G$26&lt;=$D$6),(((($G$26*$E$6)-$F$6)/$G$26)*$N$7),IF(AND($G$26&gt;=$C$7,$G$26&lt;=$D$7),(((($G$26*$E$7)-$F$7)/$G$26)*$N$8),IF(AND($G$26&gt;=$C$8,$G$26&lt;=$D$8),(((($G$26*$E$8)-$F$8)/$G$26)*$N$9),IF(AND($G$26&gt;=$C$9,$G$26&lt;=$D$9),(((($G$26*$E$9)-$F$9)/$G$26)*$N$10),IF($G$26&gt;=$C$10,(((($G$26*$E$10)-$F$10)/$G$26)*$N$11))))))))</f>
        <v>0</v>
      </c>
      <c r="J44" s="75">
        <f>IF($G$28&gt;=0,0)</f>
        <v>0</v>
      </c>
    </row>
    <row r="45" spans="2:17" x14ac:dyDescent="0.3">
      <c r="B45" s="96"/>
      <c r="C45" s="94"/>
      <c r="D45" s="84">
        <f>SUM(E45:J45)</f>
        <v>0</v>
      </c>
      <c r="E45" s="84">
        <f>$C$44*E44</f>
        <v>0</v>
      </c>
      <c r="F45" s="84">
        <f t="shared" ref="F45:J45" si="0">$C$44*F44</f>
        <v>0</v>
      </c>
      <c r="G45" s="84">
        <f t="shared" si="0"/>
        <v>0</v>
      </c>
      <c r="H45" s="84">
        <f t="shared" si="0"/>
        <v>0</v>
      </c>
      <c r="I45" s="84">
        <f t="shared" si="0"/>
        <v>0</v>
      </c>
      <c r="J45" s="84">
        <f t="shared" si="0"/>
        <v>0</v>
      </c>
    </row>
    <row r="46" spans="2:17" x14ac:dyDescent="0.3">
      <c r="B46" s="33"/>
      <c r="D46" s="35"/>
      <c r="E46" s="35"/>
      <c r="F46" s="35"/>
      <c r="G46" s="35"/>
      <c r="H46" s="35"/>
      <c r="I46" s="35"/>
      <c r="J46" s="35"/>
    </row>
    <row r="47" spans="2:17" x14ac:dyDescent="0.3">
      <c r="B47" s="82" t="s">
        <v>37</v>
      </c>
      <c r="C47" s="83">
        <f>C35+C44</f>
        <v>0</v>
      </c>
      <c r="D47" s="84">
        <f>D39+D45</f>
        <v>0</v>
      </c>
      <c r="E47" s="84">
        <f t="shared" ref="E47:J47" si="1">E39+E45</f>
        <v>0</v>
      </c>
      <c r="F47" s="84">
        <f t="shared" si="1"/>
        <v>0</v>
      </c>
      <c r="G47" s="84">
        <f t="shared" si="1"/>
        <v>0</v>
      </c>
      <c r="H47" s="84">
        <f t="shared" si="1"/>
        <v>0</v>
      </c>
      <c r="I47" s="84">
        <f t="shared" si="1"/>
        <v>0</v>
      </c>
      <c r="J47" s="84">
        <f t="shared" si="1"/>
        <v>0</v>
      </c>
    </row>
    <row r="48" spans="2:17" x14ac:dyDescent="0.3">
      <c r="D48" s="62"/>
      <c r="E48" s="62"/>
      <c r="F48" s="62"/>
      <c r="G48" s="62"/>
      <c r="H48" s="62"/>
      <c r="I48" s="62"/>
      <c r="J48" s="62"/>
    </row>
    <row r="49" spans="2:10" ht="18" customHeight="1" x14ac:dyDescent="0.3">
      <c r="B49" s="39"/>
      <c r="C49" s="63"/>
      <c r="D49" s="64"/>
      <c r="E49" s="64"/>
      <c r="F49" s="64"/>
      <c r="G49" s="64"/>
      <c r="H49" s="64"/>
      <c r="I49" s="64"/>
      <c r="J49" s="64"/>
    </row>
  </sheetData>
  <mergeCells count="17">
    <mergeCell ref="B13:H13"/>
    <mergeCell ref="F35:F38"/>
    <mergeCell ref="E35:E38"/>
    <mergeCell ref="I35:I38"/>
    <mergeCell ref="B14:H14"/>
    <mergeCell ref="B15:H15"/>
    <mergeCell ref="B16:B17"/>
    <mergeCell ref="B35:B38"/>
    <mergeCell ref="C35:C38"/>
    <mergeCell ref="D35:D38"/>
    <mergeCell ref="H35:H38"/>
    <mergeCell ref="G35:G38"/>
    <mergeCell ref="I4:N4"/>
    <mergeCell ref="B2:E2"/>
    <mergeCell ref="B3:E3"/>
    <mergeCell ref="B4:D4"/>
    <mergeCell ref="H4:H5"/>
  </mergeCells>
  <dataValidations disablePrompts="1" count="1">
    <dataValidation type="list" allowBlank="1" showInputMessage="1" showErrorMessage="1" sqref="J32" xr:uid="{044DD892-3DC7-4C01-92EC-68B223D1FD83}">
      <formula1>#REF!</formula1>
    </dataValidation>
  </dataValidation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275F5-7D60-4898-A090-6D3CD7F96E59}">
  <sheetPr codeName="Planilha8">
    <tabColor theme="9" tint="0.59999389629810485"/>
  </sheetPr>
  <dimension ref="B2:R50"/>
  <sheetViews>
    <sheetView showGridLines="0" workbookViewId="0"/>
  </sheetViews>
  <sheetFormatPr defaultColWidth="9.07421875" defaultRowHeight="11.6" x14ac:dyDescent="0.3"/>
  <cols>
    <col min="1" max="1" width="2.69140625" style="1" customWidth="1"/>
    <col min="2" max="2" width="21.4609375" style="1" bestFit="1" customWidth="1"/>
    <col min="3" max="3" width="18.4609375" style="1" customWidth="1"/>
    <col min="4" max="4" width="14.4609375" style="1" customWidth="1"/>
    <col min="5" max="5" width="27.84375" style="1" bestFit="1" customWidth="1"/>
    <col min="6" max="6" width="16.07421875" style="1" customWidth="1"/>
    <col min="7" max="7" width="17" style="1" customWidth="1"/>
    <col min="8" max="8" width="12.07421875" style="1" customWidth="1"/>
    <col min="9" max="9" width="15.07421875" style="1" customWidth="1"/>
    <col min="10" max="10" width="14.3046875" style="1" customWidth="1"/>
    <col min="11" max="11" width="18.07421875" style="1" bestFit="1" customWidth="1"/>
    <col min="12" max="12" width="14" style="1" customWidth="1"/>
    <col min="13" max="13" width="13" style="1" customWidth="1"/>
    <col min="14" max="14" width="9.53515625" style="1" bestFit="1" customWidth="1"/>
    <col min="15" max="15" width="9.84375" style="1" bestFit="1" customWidth="1"/>
    <col min="16" max="16" width="24.4609375" style="1" customWidth="1"/>
    <col min="17" max="17" width="15.53515625" style="1" customWidth="1"/>
    <col min="18" max="18" width="14.84375" style="1" customWidth="1"/>
    <col min="19" max="19" width="13" style="1" customWidth="1"/>
    <col min="20" max="16384" width="9.07421875" style="1"/>
  </cols>
  <sheetData>
    <row r="2" spans="2:18" x14ac:dyDescent="0.3">
      <c r="B2" s="113" t="s">
        <v>66</v>
      </c>
      <c r="C2" s="113"/>
      <c r="D2" s="113"/>
      <c r="E2" s="113"/>
    </row>
    <row r="3" spans="2:18" ht="36" customHeight="1" x14ac:dyDescent="0.3">
      <c r="B3" s="113" t="s">
        <v>50</v>
      </c>
      <c r="C3" s="113"/>
      <c r="D3" s="113"/>
      <c r="E3" s="113"/>
    </row>
    <row r="4" spans="2:18" ht="12" thickBot="1" x14ac:dyDescent="0.35">
      <c r="B4" s="3"/>
      <c r="N4" s="2"/>
    </row>
    <row r="5" spans="2:18" ht="23.6" thickBot="1" x14ac:dyDescent="0.35">
      <c r="B5" s="114" t="s">
        <v>2</v>
      </c>
      <c r="C5" s="115"/>
      <c r="D5" s="116"/>
      <c r="E5" s="87" t="s">
        <v>3</v>
      </c>
      <c r="F5" s="88" t="s">
        <v>4</v>
      </c>
      <c r="H5" s="117" t="s">
        <v>5</v>
      </c>
      <c r="I5" s="114" t="s">
        <v>6</v>
      </c>
      <c r="J5" s="115"/>
      <c r="K5" s="115"/>
      <c r="L5" s="115"/>
      <c r="M5" s="116"/>
    </row>
    <row r="6" spans="2:18" ht="15" thickBot="1" x14ac:dyDescent="0.45">
      <c r="B6" s="50" t="s">
        <v>7</v>
      </c>
      <c r="C6" s="6">
        <v>0</v>
      </c>
      <c r="D6" s="6">
        <v>180000</v>
      </c>
      <c r="E6" s="7">
        <v>4.4999999999999998E-2</v>
      </c>
      <c r="F6" s="8">
        <v>0</v>
      </c>
      <c r="G6" s="111">
        <f>(((4800000*E6)-F6)/4800000)</f>
        <v>4.4999999999999998E-2</v>
      </c>
      <c r="H6" s="118"/>
      <c r="I6" s="89" t="s">
        <v>8</v>
      </c>
      <c r="J6" s="89" t="s">
        <v>9</v>
      </c>
      <c r="K6" s="89" t="s">
        <v>10</v>
      </c>
      <c r="L6" s="89" t="s">
        <v>11</v>
      </c>
      <c r="M6" s="89" t="s">
        <v>51</v>
      </c>
      <c r="N6" s="9"/>
      <c r="O6" s="9"/>
      <c r="P6" s="9"/>
    </row>
    <row r="7" spans="2:18" ht="12" thickBot="1" x14ac:dyDescent="0.35">
      <c r="B7" s="50" t="s">
        <v>14</v>
      </c>
      <c r="C7" s="6">
        <v>180000.01</v>
      </c>
      <c r="D7" s="6">
        <v>360000</v>
      </c>
      <c r="E7" s="7">
        <v>0.09</v>
      </c>
      <c r="F7" s="10">
        <v>8100</v>
      </c>
      <c r="H7" s="5" t="s">
        <v>7</v>
      </c>
      <c r="I7" s="7">
        <v>0.188</v>
      </c>
      <c r="J7" s="7">
        <v>0.152</v>
      </c>
      <c r="K7" s="7">
        <v>0.1767</v>
      </c>
      <c r="L7" s="7">
        <v>3.8300000000000001E-2</v>
      </c>
      <c r="M7" s="11">
        <v>0.44500000000000001</v>
      </c>
      <c r="N7" s="12"/>
      <c r="O7" s="12"/>
      <c r="P7" s="12"/>
    </row>
    <row r="8" spans="2:18" ht="12" thickBot="1" x14ac:dyDescent="0.35">
      <c r="B8" s="50" t="s">
        <v>15</v>
      </c>
      <c r="C8" s="6">
        <v>360000.01</v>
      </c>
      <c r="D8" s="6">
        <v>720000</v>
      </c>
      <c r="E8" s="7">
        <v>0.10199999999999999</v>
      </c>
      <c r="F8" s="10">
        <v>12420</v>
      </c>
      <c r="H8" s="5" t="s">
        <v>14</v>
      </c>
      <c r="I8" s="7">
        <v>0.19800000000000001</v>
      </c>
      <c r="J8" s="7">
        <v>0.152</v>
      </c>
      <c r="K8" s="7">
        <v>0.20549999999999999</v>
      </c>
      <c r="L8" s="7">
        <v>4.4499999999999998E-2</v>
      </c>
      <c r="M8" s="11">
        <v>0.4</v>
      </c>
      <c r="N8" s="12"/>
      <c r="O8" s="12"/>
      <c r="P8" s="12"/>
    </row>
    <row r="9" spans="2:18" ht="12" thickBot="1" x14ac:dyDescent="0.35">
      <c r="B9" s="50" t="s">
        <v>16</v>
      </c>
      <c r="C9" s="6">
        <v>720000.01</v>
      </c>
      <c r="D9" s="6">
        <v>1800000</v>
      </c>
      <c r="E9" s="7">
        <v>0.14000000000000001</v>
      </c>
      <c r="F9" s="10">
        <v>39780</v>
      </c>
      <c r="H9" s="5" t="s">
        <v>15</v>
      </c>
      <c r="I9" s="7">
        <v>0.20799999999999999</v>
      </c>
      <c r="J9" s="7">
        <v>0.152</v>
      </c>
      <c r="K9" s="7">
        <v>0.1973</v>
      </c>
      <c r="L9" s="7">
        <v>4.2700000000000002E-2</v>
      </c>
      <c r="M9" s="11">
        <v>0.4</v>
      </c>
      <c r="N9" s="12"/>
      <c r="O9" s="12"/>
      <c r="P9" s="12"/>
    </row>
    <row r="10" spans="2:18" ht="12" thickBot="1" x14ac:dyDescent="0.35">
      <c r="B10" s="50" t="s">
        <v>17</v>
      </c>
      <c r="C10" s="6">
        <v>1800000.01</v>
      </c>
      <c r="D10" s="6">
        <v>3600000</v>
      </c>
      <c r="E10" s="7">
        <v>0.22</v>
      </c>
      <c r="F10" s="10">
        <v>183780</v>
      </c>
      <c r="H10" s="5" t="s">
        <v>16</v>
      </c>
      <c r="I10" s="7">
        <v>0.17799999999999999</v>
      </c>
      <c r="J10" s="7">
        <v>0.192</v>
      </c>
      <c r="K10" s="7">
        <v>0.189</v>
      </c>
      <c r="L10" s="7">
        <v>4.1000000000000002E-2</v>
      </c>
      <c r="M10" s="11">
        <v>0.4</v>
      </c>
      <c r="N10" s="12"/>
      <c r="O10" s="12"/>
      <c r="P10" s="12"/>
    </row>
    <row r="11" spans="2:18" ht="15" thickBot="1" x14ac:dyDescent="0.45">
      <c r="B11" s="50" t="s">
        <v>18</v>
      </c>
      <c r="C11" s="14">
        <v>3600000.01</v>
      </c>
      <c r="D11" s="14">
        <v>4800000</v>
      </c>
      <c r="E11" s="15">
        <v>0.33</v>
      </c>
      <c r="F11" s="16">
        <v>828000</v>
      </c>
      <c r="G11" s="111">
        <f>(((4800000*E11)-F11)/4800000)</f>
        <v>0.1575</v>
      </c>
      <c r="H11" s="5" t="s">
        <v>17</v>
      </c>
      <c r="I11" s="7">
        <v>0.188</v>
      </c>
      <c r="J11" s="7">
        <v>0.192</v>
      </c>
      <c r="K11" s="7">
        <v>0.18079999999999999</v>
      </c>
      <c r="L11" s="7">
        <v>3.9199999999999999E-2</v>
      </c>
      <c r="M11" s="11">
        <v>0.4</v>
      </c>
      <c r="N11" s="12"/>
      <c r="O11" s="12"/>
      <c r="P11" s="12"/>
    </row>
    <row r="12" spans="2:18" ht="12" thickBot="1" x14ac:dyDescent="0.35">
      <c r="B12" s="17"/>
      <c r="H12" s="13" t="s">
        <v>18</v>
      </c>
      <c r="I12" s="15">
        <v>0.53500000000000003</v>
      </c>
      <c r="J12" s="15">
        <v>0.215</v>
      </c>
      <c r="K12" s="15">
        <v>0.20549999999999999</v>
      </c>
      <c r="L12" s="15">
        <v>4.4499999999999998E-2</v>
      </c>
      <c r="M12" s="67">
        <v>0</v>
      </c>
      <c r="N12" s="12"/>
      <c r="O12" s="12"/>
      <c r="P12" s="12"/>
    </row>
    <row r="13" spans="2:18" x14ac:dyDescent="0.3">
      <c r="B13" s="17"/>
      <c r="H13" s="19"/>
      <c r="I13" s="20"/>
      <c r="J13" s="20"/>
      <c r="K13" s="20"/>
      <c r="L13" s="20"/>
      <c r="M13" s="20"/>
      <c r="N13" s="19"/>
      <c r="O13" s="12"/>
      <c r="P13" s="12"/>
      <c r="Q13" s="12"/>
      <c r="R13" s="12"/>
    </row>
    <row r="14" spans="2:18" ht="30" customHeight="1" x14ac:dyDescent="0.3">
      <c r="B14" s="142" t="s">
        <v>52</v>
      </c>
      <c r="C14" s="143"/>
      <c r="D14" s="143"/>
      <c r="E14" s="143"/>
      <c r="F14" s="143"/>
      <c r="G14" s="144"/>
      <c r="H14" s="20"/>
      <c r="I14" s="20"/>
      <c r="J14" s="20"/>
      <c r="K14" s="20"/>
      <c r="L14" s="20"/>
      <c r="M14" s="19"/>
      <c r="N14" s="12"/>
      <c r="O14" s="12"/>
      <c r="P14" s="12"/>
      <c r="Q14" s="12"/>
    </row>
    <row r="15" spans="2:18" ht="27" customHeight="1" x14ac:dyDescent="0.3">
      <c r="B15" s="137" t="s">
        <v>65</v>
      </c>
      <c r="C15" s="138"/>
      <c r="D15" s="138"/>
      <c r="E15" s="138"/>
      <c r="F15" s="138"/>
      <c r="G15" s="139"/>
      <c r="H15" s="20"/>
      <c r="I15" s="20"/>
      <c r="J15" s="20"/>
      <c r="K15" s="20"/>
      <c r="L15" s="20"/>
      <c r="M15" s="19"/>
      <c r="N15" s="12"/>
      <c r="O15" s="12"/>
      <c r="P15" s="12"/>
      <c r="Q15" s="12"/>
    </row>
    <row r="16" spans="2:18" ht="24" customHeight="1" x14ac:dyDescent="0.3">
      <c r="B16" s="137" t="s">
        <v>58</v>
      </c>
      <c r="C16" s="138"/>
      <c r="D16" s="138"/>
      <c r="E16" s="138"/>
      <c r="F16" s="138"/>
      <c r="G16" s="139"/>
      <c r="H16" s="20"/>
      <c r="I16" s="20"/>
      <c r="J16" s="20"/>
      <c r="K16" s="20"/>
      <c r="L16" s="20"/>
      <c r="M16" s="19"/>
      <c r="N16" s="12"/>
      <c r="O16" s="12"/>
      <c r="P16" s="12"/>
      <c r="Q16" s="12"/>
    </row>
    <row r="17" spans="2:18" ht="24" customHeight="1" x14ac:dyDescent="0.3">
      <c r="B17" s="140" t="s">
        <v>48</v>
      </c>
      <c r="C17" s="103" t="s">
        <v>8</v>
      </c>
      <c r="D17" s="103" t="s">
        <v>9</v>
      </c>
      <c r="E17" s="103" t="s">
        <v>38</v>
      </c>
      <c r="F17" s="103" t="s">
        <v>59</v>
      </c>
      <c r="G17" s="103" t="s">
        <v>37</v>
      </c>
      <c r="H17" s="20"/>
      <c r="I17" s="20"/>
      <c r="J17" s="20"/>
      <c r="K17" s="20"/>
      <c r="L17" s="20"/>
      <c r="M17" s="19"/>
      <c r="N17" s="12"/>
      <c r="O17" s="12"/>
      <c r="P17" s="12"/>
      <c r="Q17" s="12"/>
    </row>
    <row r="18" spans="2:18" ht="15" customHeight="1" x14ac:dyDescent="0.3">
      <c r="B18" s="141"/>
      <c r="C18" s="48">
        <v>0.31330000000000002</v>
      </c>
      <c r="D18" s="49">
        <v>0.32</v>
      </c>
      <c r="E18" s="48">
        <v>0.30130000000000001</v>
      </c>
      <c r="F18" s="48">
        <v>6.54E-2</v>
      </c>
      <c r="G18" s="49">
        <v>1</v>
      </c>
      <c r="H18" s="20"/>
      <c r="I18" s="20"/>
      <c r="J18" s="20"/>
      <c r="K18" s="20"/>
      <c r="L18" s="20"/>
      <c r="M18" s="19"/>
      <c r="N18" s="12"/>
      <c r="O18" s="12"/>
      <c r="P18" s="12"/>
      <c r="Q18" s="12"/>
    </row>
    <row r="19" spans="2:18" x14ac:dyDescent="0.3">
      <c r="B19" s="17"/>
      <c r="C19" s="4"/>
      <c r="D19" s="4"/>
      <c r="E19" s="4"/>
      <c r="F19" s="4"/>
      <c r="G19" s="4"/>
      <c r="H19" s="19"/>
      <c r="I19" s="20"/>
      <c r="J19" s="51" t="s">
        <v>53</v>
      </c>
      <c r="K19" s="20"/>
      <c r="L19" s="52" t="s">
        <v>54</v>
      </c>
      <c r="M19" s="52" t="s">
        <v>55</v>
      </c>
      <c r="N19" s="19"/>
      <c r="O19" s="12"/>
      <c r="P19" s="12"/>
      <c r="Q19" s="12"/>
      <c r="R19" s="12"/>
    </row>
    <row r="20" spans="2:18" ht="12" thickBot="1" x14ac:dyDescent="0.35">
      <c r="H20" s="35"/>
      <c r="I20" s="35">
        <f>$G$22-3600000</f>
        <v>-3600000</v>
      </c>
      <c r="J20" s="53" t="s">
        <v>56</v>
      </c>
      <c r="K20" s="27" t="e">
        <f>$I$20/$G$23</f>
        <v>#DIV/0!</v>
      </c>
      <c r="L20" s="35" t="e">
        <f>$I$25*$K$20</f>
        <v>#DIV/0!</v>
      </c>
      <c r="M20" s="35" t="e">
        <f>$I$24*$K$20</f>
        <v>#DIV/0!</v>
      </c>
    </row>
    <row r="21" spans="2:18" ht="12" thickBot="1" x14ac:dyDescent="0.35">
      <c r="B21" s="1" t="s">
        <v>21</v>
      </c>
      <c r="F21" s="22"/>
      <c r="G21" s="23">
        <v>0</v>
      </c>
      <c r="H21" s="35"/>
      <c r="I21" s="35">
        <f>$G$23-$I$20</f>
        <v>3600000</v>
      </c>
      <c r="J21" s="53" t="s">
        <v>57</v>
      </c>
      <c r="K21" s="27" t="e">
        <f>$I$21/$G$23</f>
        <v>#DIV/0!</v>
      </c>
      <c r="L21" s="35" t="e">
        <f>$I$25*$K$21</f>
        <v>#DIV/0!</v>
      </c>
      <c r="M21" s="35" t="e">
        <f>$I$24*$K$21</f>
        <v>#DIV/0!</v>
      </c>
      <c r="Q21" s="23"/>
    </row>
    <row r="22" spans="2:18" ht="12" thickBot="1" x14ac:dyDescent="0.35">
      <c r="B22" s="1" t="s">
        <v>24</v>
      </c>
      <c r="F22" s="22"/>
      <c r="G22" s="23">
        <v>0</v>
      </c>
      <c r="K22" s="25"/>
      <c r="L22" s="54"/>
      <c r="M22" s="55"/>
      <c r="N22" s="55"/>
    </row>
    <row r="23" spans="2:18" ht="12" thickBot="1" x14ac:dyDescent="0.35">
      <c r="B23" s="1" t="s">
        <v>25</v>
      </c>
      <c r="D23" s="22"/>
      <c r="E23" s="24"/>
      <c r="F23" s="22"/>
      <c r="G23" s="23">
        <v>0</v>
      </c>
      <c r="J23" s="2" t="s">
        <v>60</v>
      </c>
      <c r="K23" s="25"/>
      <c r="L23" s="54"/>
    </row>
    <row r="24" spans="2:18" ht="12" thickBot="1" x14ac:dyDescent="0.35">
      <c r="B24" s="1" t="s">
        <v>26</v>
      </c>
      <c r="F24" s="2"/>
      <c r="G24" s="26">
        <f>IF($G$21=0,$E$6,IF(AND($G$21&gt;=$C$6,$G$21&lt;=$D$6),((($G$21*$E$6)-$F$6)/$G$21),IF(AND($G$21&gt;=$C$7,$G$21&lt;=$D$7),((($G$21*$E$7)-$F$7)/$G$21),IF(AND($G$21&gt;=$C$8,$G$21&lt;=$D$8),((($G$21*$E$8)-$F$8)/$G$21),IF(AND($G$21&gt;=$C$9,$G$21&lt;=$D$9),((($G$21*$E$9)-$F$9)/$G$21),IF(AND($G$21&gt;=$C$10,$G$21&lt;=$D$10),((($G$21*$E$10)-$F$10)/$G$21),IF($G$21&gt;=$C$11,((($G$21*$E$11)-$F$11)/$G$21))))))))</f>
        <v>4.4999999999999998E-2</v>
      </c>
      <c r="H24" s="35"/>
      <c r="I24" s="35">
        <f>$G$22-4800000</f>
        <v>-4800000</v>
      </c>
      <c r="J24" s="53" t="s">
        <v>56</v>
      </c>
      <c r="K24" s="27" t="e">
        <f>$I$24/$G$23</f>
        <v>#DIV/0!</v>
      </c>
      <c r="Q24" s="1" t="s">
        <v>27</v>
      </c>
      <c r="R24" s="1" t="s">
        <v>28</v>
      </c>
    </row>
    <row r="25" spans="2:18" ht="12" thickBot="1" x14ac:dyDescent="0.35">
      <c r="F25" s="2"/>
      <c r="G25" s="60">
        <f>(((4800000*E11)-F11)/4800000)</f>
        <v>0.1575</v>
      </c>
      <c r="H25" s="35"/>
      <c r="I25" s="35">
        <f>$G$23-$I$24</f>
        <v>4800000</v>
      </c>
      <c r="J25" s="53" t="s">
        <v>57</v>
      </c>
      <c r="K25" s="27" t="e">
        <f>$I$25/$G$23</f>
        <v>#DIV/0!</v>
      </c>
      <c r="L25" s="35"/>
      <c r="Q25" s="28"/>
      <c r="R25" s="23"/>
    </row>
    <row r="26" spans="2:18" ht="12" thickBot="1" x14ac:dyDescent="0.35">
      <c r="H26" s="35"/>
      <c r="J26" s="27"/>
      <c r="R26" s="23"/>
    </row>
    <row r="27" spans="2:18" ht="12" thickBot="1" x14ac:dyDescent="0.35">
      <c r="B27" s="1" t="s">
        <v>29</v>
      </c>
      <c r="F27" s="22"/>
      <c r="G27" s="23">
        <v>0</v>
      </c>
      <c r="H27" s="35"/>
      <c r="I27" s="35"/>
      <c r="R27" s="23"/>
    </row>
    <row r="28" spans="2:18" ht="12" thickBot="1" x14ac:dyDescent="0.35">
      <c r="B28" s="1" t="s">
        <v>31</v>
      </c>
      <c r="F28" s="22"/>
      <c r="G28" s="23">
        <v>0</v>
      </c>
      <c r="H28" s="35"/>
      <c r="I28" s="35"/>
      <c r="R28" s="29"/>
    </row>
    <row r="29" spans="2:18" ht="12" thickBot="1" x14ac:dyDescent="0.35">
      <c r="B29" s="1" t="s">
        <v>32</v>
      </c>
      <c r="F29" s="22"/>
      <c r="G29" s="23">
        <v>0</v>
      </c>
      <c r="H29" s="35"/>
      <c r="I29" s="65"/>
    </row>
    <row r="30" spans="2:18" ht="12" thickBot="1" x14ac:dyDescent="0.35">
      <c r="B30" s="1" t="s">
        <v>26</v>
      </c>
      <c r="G30" s="26">
        <f>IF($G$27=0,$E$6,IF(AND($G$27&gt;=$C$6,$G$27&lt;=$D$6),((($G$27*$E$6)-$F$6)/$G$27),IF(AND($G$27&gt;=$C$7,$G$27&lt;=$D$7),((($G$27*$E$7)-$F$7)/$G$27),IF(AND($G$27&gt;=$C$8,$G$27&lt;=$D$8),((($G$27*$E$8)-$F$8)/$G$27),IF(AND($G$27&gt;=$C$9,$G$27&lt;=$D$9),((($G$27*$E$9)-$F$9)/$G$27),IF(AND($G$27&gt;=$C$10,$G$27&lt;=$D$10),((($G$27*$E$10)-$F$10)/$G$27),IF($G$27&gt;=$C$11,((($G$27*$E$11)-$F$11)/$G$27))))))))</f>
        <v>4.4999999999999998E-2</v>
      </c>
      <c r="J30" s="30"/>
    </row>
    <row r="31" spans="2:18" x14ac:dyDescent="0.3">
      <c r="E31" s="66"/>
      <c r="J31" s="30"/>
    </row>
    <row r="32" spans="2:18" x14ac:dyDescent="0.3">
      <c r="E32" s="70"/>
      <c r="F32" s="4"/>
      <c r="G32" s="4"/>
      <c r="H32" s="4"/>
    </row>
    <row r="33" spans="2:16" x14ac:dyDescent="0.3">
      <c r="B33" s="85" t="s">
        <v>35</v>
      </c>
      <c r="C33" s="85"/>
      <c r="D33" s="85"/>
      <c r="E33" s="106"/>
      <c r="F33" s="106"/>
      <c r="G33" s="106"/>
      <c r="H33" s="106"/>
      <c r="I33" s="85"/>
    </row>
    <row r="34" spans="2:16" x14ac:dyDescent="0.3">
      <c r="C34" s="35"/>
      <c r="D34" s="4"/>
      <c r="E34" s="40"/>
      <c r="F34" s="40"/>
      <c r="G34" s="40"/>
      <c r="H34" s="40"/>
      <c r="I34" s="4"/>
    </row>
    <row r="35" spans="2:16" x14ac:dyDescent="0.3">
      <c r="B35" s="93" t="s">
        <v>36</v>
      </c>
      <c r="C35" s="107" t="e">
        <f>C36/G23</f>
        <v>#DIV/0!</v>
      </c>
      <c r="D35" s="94" t="s">
        <v>37</v>
      </c>
      <c r="E35" s="94" t="s">
        <v>8</v>
      </c>
      <c r="F35" s="94" t="s">
        <v>9</v>
      </c>
      <c r="G35" s="94" t="s">
        <v>38</v>
      </c>
      <c r="H35" s="94" t="s">
        <v>39</v>
      </c>
      <c r="I35" s="94" t="s">
        <v>51</v>
      </c>
    </row>
    <row r="36" spans="2:16" ht="45" customHeight="1" x14ac:dyDescent="0.3">
      <c r="B36" s="122" t="s">
        <v>40</v>
      </c>
      <c r="C36" s="125">
        <f>G23</f>
        <v>0</v>
      </c>
      <c r="D36" s="128">
        <f>SUM(E36:H39)+I39</f>
        <v>0</v>
      </c>
      <c r="E36" s="131">
        <f>IF(G22-G23&gt;(3600000+(3600000*0.2)),E34,IF($C$36=0,0,IF($G$21=0,$E$6*$I$7,IF(IF(AND($G$21&gt;=$C$6,$G$21&lt;=$D$6),$E$6*$M$7,IF(AND($G$21&gt;=$C$7,$G$21&lt;=$D$7),((($G$21*$E$7)-$F$7)/$G$21)*$M$8,IF(AND($G$21&gt;=$C$8,$G$21&lt;=$D$8),((($G$21*$E$8)-$F$8)/$G$21)*$M$9,IF(AND($G$21&gt;=$C$9,$G$21&lt;=$D$9),((($G$21*$E$9)-$F$9)/$G$21)*$M$10,IF(AND($G$21&gt;=$C$10,$G$21&lt;=$D$10),((($G$21*$E$10)-$F$10)/$G$21)*$M$11,IF(AND($G$21&gt;=$C$11,$G$21&lt;=$D$11),((($G$21*$E$10)-$F$10)/$G$21)*$M$11,IF(AND($G$22-$G$23)&gt;3600000,(((3600000*$E$10)-$F$10)/3600000)*$M$11)))))))&gt;5%,IF(AND($G$21&gt;=$C$6,$G$21&lt;=$D$6),($E$6*$I$7)+($K$39*$C$18),IF(AND($G$21&gt;=$C$7,$G$21&lt;=$D$7),(((($G$21*$E$7)-$F$7)/$G$21)*$I$8)+($K$39*$C$18),IF(AND($G$21&gt;=$C$8,$G$21&lt;=$D$8),(((($G$21*$E$8)-$F$8)/$G$21)*$I$9)+($K$39*$C$18),IF(AND($G$21&gt;=$C$9,$G$21&lt;=$D$9),(((($G$21*$E$9)-$F$9)/$G$21)*$I$10)+($K$39*$C$18),IF(AND($G$21&gt;=$C$10,$G$21&lt;=$D$10),(((($G$21*$E$10)-$F$10)/$G$21)*$I$11)+($K$39*$C$18),IF(AND($G$21&gt;=$C$11,$G$21&lt;=$D$11),(((($G$21*$E$11)-$F$11)/$G$21)*$I$12)+($K$39*$C$18),IF(AND($G$21&gt;=$C$11,$G$21&gt;$D$11),(((($G$21*$E$11)-$F$11)/$G$21)*$I$12)+($K$39*$C$18)))))))),IF(AND($G$21&gt;=$C$6,$G$21&lt;=$D$6),($E$6*$I$7),IF(AND($G$21&gt;=$C$7,$G$21&lt;=$D$7),(((($G$21*$E$7)-$F$7)/$G$21)*$I$8),IF(AND($G$21&gt;=$C$8,$G$21&lt;=$D$8),(((($G$21*$E$8)-$F$8)/$G$21)*$I$9),IF(AND($G$21&gt;=$C$9,$G$21&lt;=$D$9),(((($G$21*$E$9)-$F$9)/$G$21)*$I$10),IF(AND($G$21&gt;=$C$10,$G$21&lt;=$D$10),(((($G$21*$E$10)-$F$10)/$G$21)*$I$11),IF(AND($G$21&gt;=$C$11,$G$21&lt;=$D$11),(((($G$21*$E$11)-$F$11)/$G$21)*$I$12),IF(AND($G$21&gt;=$C$11,$G$21&gt;$D$11),(((($G$21*$E$11)-$F$11)/$G$21)*$I$12))))))))))))</f>
        <v>0</v>
      </c>
      <c r="F36" s="131">
        <f>IF(G22-G23&gt;(3600000+(3600000*0.2)),F34,IF($C$36=0,0,IF($G$21=0,$E$6*$J$7,IF(IF(AND($G$21&gt;=$C$6,$G$21&lt;=$D$6),$E$6*$M$7,IF(AND($G$21&gt;=$C$7,$G$21&lt;=$D$7),((($G$21*$E$7)-$F$7)/$G$21)*$M$8,IF(AND($G$21&gt;=$C$8,$G$21&lt;=$D$8),((($G$21*$E$8)-$F$8)/$G$21)*$M$9,IF(AND($G$21&gt;=$C$9,$G$21&lt;=$D$9),((($G$21*$E$9)-$F$9)/$G$21)*$M$10,IF(AND($G$21&gt;=$C$10,$G$21&lt;=$D$10),((($G$21*$E$10)-$F$10)/$G$21)*$M$11,IF(AND($G$21&gt;=$C$11,$G$21&lt;=$D$11),((($G$21*$E$10)-$F$10)/$G$21)*$M$11,IF(AND($G$22-$G$23)&gt;3600000,(((3600000*$E$10)-$F$10)/3600000)*$M$11)))))))&gt;5%,IF(AND($G$21&gt;=$C$6,$G$21&lt;=$D$6),($E$6*$J$7)+($K$39*$D$18),IF(AND($G$21&gt;=$C$7,$G$21&lt;=$D$7),(((($G$21*$E$7)-$F$7)/$G$21)*$J$8)+($K$39*$D$18),IF(AND($G$21&gt;=$C$8,$G$21&lt;=$D$8),(((($G$21*$E$8)-$F$8)/$G$21)*$J$9)+($K$39*$D$18),IF(AND($G$21&gt;=$C$9,$G$21&lt;=$D$9),(((($G$21*$E$9)-$F$9)/$G$21)*$J$10)+($K$39*$D$18),IF(AND($G$21&gt;=$C$10,$G$21&lt;=$D$10),(((($G$21*$E$10)-$F$10)/$G$21)*$J$11)+($K$39*$D$18),IF(AND($G$21&gt;=$C$11,$G$21&lt;=$D$11),(((($G$21*$E$11)-$F$11)/$G$21)*$J$12)+($K$39*$D$18),IF(AND($G$21&gt;=$C$11,$G$21&gt;$D$11),(((($G$21*$E$11)-$F$11)/$G$21)*$J$12)+($K$39*$D$18)))))))),IF(AND($G$21&gt;=$C$6,$G$21&lt;=$D$6),($E$6*$J$7),IF(AND($G$21&gt;=$C$7,$G$21&lt;=$D$7),(((($G$21*$E$7)-$F$7)/$G$21)*$J$8),IF(AND($G$21&gt;=$C$8,$G$21&lt;=$D$8),(((($G$21*$E$8)-$F$8)/$G$21)*$J$9),IF(AND($G$21&gt;=$C$9,$G$21&lt;=$D$9),(((($G$21*$E$9)-$F$9)/$G$21)*$J$10),IF(AND($G$21&gt;=$C$10,$G$21&lt;=$D$10),(((($G$21*$E$10)-$F$10)/$G$21)*$J$11),IF(AND($G$21&gt;=$C$11,$G$21&lt;=$D$11),(((($G$21*$E$11)-$F$11)/$G$21)*$J$12),IF(AND($G$21&gt;=$C$11,$G$21&gt;$D$11),(((($G$21*$E$11)-$F$11)/$G$21)*$J$12))))))))))))</f>
        <v>0</v>
      </c>
      <c r="G36" s="131">
        <f>IF(G22-G23&gt;(3600000+(3600000*0.2)),G34,IF($C$36=0,0,IF($G$21=0,$E$6*$K$7,IF(IF(AND($G$21&gt;=$C$6,$G$21&lt;=$D$6),$E$6*$M$7,IF(AND($G$21&gt;=$C$7,$G$21&lt;=$D$7),((($G$21*$E$7)-$F$7)/$G$21)*$M$8,IF(AND($G$21&gt;=$C$8,$G$21&lt;=$D$8),((($G$21*$E$8)-$F$8)/$G$21)*$M$9,IF(AND($G$21&gt;=$C$9,$G$21&lt;=$D$9),((($G$21*$E$9)-$F$9)/$G$21)*$M$10,IF(AND($G$21&gt;=$C$10,$G$21&lt;=$D$10),((($G$21*$E$10)-$F$10)/$G$21)*$M$11,IF(AND($G$21&gt;=$C$11,$G$21&lt;=$D$11),((($G$21*$E$10)-$F$10)/$G$21)*$M$11,IF(AND($G$22-$G$23)&gt;3600000,(((3600000*$E$10)-$F$10)/3600000)*$M$11)))))))&gt;5%,IF(AND($G$21&gt;=$C$6,$G$21&lt;=$D$6),($E$6*$K$7)+($K$39*$E$18),IF(AND($G$21&gt;=$C$7,$G$21&lt;=$D$7),(((($G$21*$E$7)-$F$7)/$G$21)*$K$8)+($K$39*$E$18),IF(AND($G$21&gt;=$C$8,$G$21&lt;=$D$8),(((($G$21*$E$8)-$F$8)/$G$21)*$K$9)+($K$39*$E$18),IF(AND($G$21&gt;=$C$9,$G$21&lt;=$D$9),(((($G$21*$E$9)-$F$9)/$G$21)*$K$10)+($K$39*$E$18),IF(AND($G$21&gt;=$C$10,$G$21&lt;=$D$10),(((($G$21*$E$10)-$F$10)/$G$21)*$K$11)+($K$39*$E$18),IF(AND($G$21&gt;=$C$11,$G$21&lt;=$D$11),(((($G$21*$E$11)-$F$11)/$G$21)*$K$12)+($K$39*$E$18),IF(AND($G$21&gt;=$C$11,$G$21&gt;$D$11),(((($G$21*$E$11)-$F$11)/$G$21)*$K$12)+($K$39*$E$18)))))))),IF(AND($G$21&gt;=$C$6,$G$21&lt;=$D$6),($E$6*$K$7),IF(AND($G$21&gt;=$C$7,$G$21&lt;=$D$7),(((($G$21*$E$7)-$F$7)/$G$21)*$K$8),IF(AND($G$21&gt;=$C$8,$G$21&lt;=$D$8),(((($G$21*$E$8)-$F$8)/$G$21)*$K$9),IF(AND($G$21&gt;=$C$9,$G$21&lt;=$D$9),(((($G$21*$E$9)-$F$9)/$G$21)*$K$10),IF(AND($G$21&gt;=$C$10,$G$21&lt;=$D$10),(((($G$21*$E$10)-$F$10)/$G$21)*$K$11),IF(AND($G$21&gt;=$C$11,$G$21&lt;=$D$11),(((($G$21*$E$11)-$F$11)/$G$21)*$K$12),IF(AND($G$21&gt;=$C$11,$G$21&gt;$D$11),(((($G$21*$E$11)-$F$11)/$G$21)*$K$12))))))))))))</f>
        <v>0</v>
      </c>
      <c r="H36" s="131">
        <f>IF(G22-G23&gt;(3600000+(3600000*0.2)),H34,IF($C$36=0,0,IF($G$21=0,$E$6*$L$7,IF(IF(AND($G$21&gt;=$C$6,$G$21&lt;=$D$6),$E$6*$M$7,IF(AND($G$21&gt;=$C$7,$G$21&lt;=$D$7),((($G$21*$E$7)-$F$7)/$G$21)*$M$8,IF(AND($G$21&gt;=$C$8,$G$21&lt;=$D$8),((($G$21*$E$8)-$F$8)/$G$21)*$M$9,IF(AND($G$21&gt;=$C$9,$G$21&lt;=$D$9),((($G$21*$E$9)-$F$9)/$G$21)*$M$10,IF(AND($G$21&gt;=$C$10,$G$21&lt;=$D$10),((($G$21*$E$10)-$F$10)/$G$21)*$M$11,IF(AND($G$21&gt;=$C$11,$G$21&lt;=$D$11),((($G$21*$E$10)-$F$10)/$G$21)*$M$11,IF(AND($G$22-$G$23)&gt;3600000,(((3600000*$E$10)-$F$10)/3600000)*$M$11)))))))&gt;5%,IF(AND($G$21&gt;=$C$6,$G$21&lt;=$D$6),($E$6*$L$7)+($K$39*$F$18),IF(AND($G$21&gt;=$C$7,$G$21&lt;=$D$7),(((($G$21*$E$7)-$F$7)/$G$21)*$L$8)+($K$39*$F$18),IF(AND($G$21&gt;=$C$8,$G$21&lt;=$D$8),(((($G$21*$E$8)-$F$8)/$G$21)*$L$9)+($K$39*$F$18),IF(AND($G$21&gt;=$C$9,$G$21&lt;=$D$9),(((($G$21*$E$9)-$F$9)/$G$21)*$L$10)+($K$39*$F$18),IF(AND($G$21&gt;=$C$10,$G$21&lt;=$D$10),(((($G$21*$E$10)-$F$10)/$G$21)*$L$11)+($K$39*$F$18),IF(AND($G$21&gt;=$C$11,$G$21&lt;=$D$11),(((($G$21*$E$11)-$F$11)/$G$21)*$L$12)+($K$39*$F$18),IF(AND($G$21&gt;=$C$11,$G$21&gt;$D$11),(((($G$21*$E$11)-$F$11)/$G$21)*$L$12)+($K$39*$F$18)))))))),IF(AND($G$21&gt;=$C$6,$G$21&lt;=$D$6),($E$6*$L$7),IF(AND($G$21&gt;=$C$7,$G$21&lt;=$D$7),(((($G$21*$E$7)-$F$7)/$G$21)*$L$8),IF(AND($G$21&gt;=$C$8,$G$21&lt;=$D$8),(((($G$21*$E$8)-$F$8)/$G$21)*$L$9),IF(AND($G$21&gt;=$C$9,$G$21&lt;=$D$9),(((($G$21*$E$9)-$F$9)/$G$21)*$L$10),IF(AND($G$21&gt;=$C$10,$G$21&lt;=$D$10),(((($G$21*$E$10)-$F$10)/$G$21)*$L$11),IF(AND($G$21&gt;=$C$11,$G$21&lt;=$D$11),(((($G$21*$E$11)-$F$11)/$G$21)*$L$12),IF(AND($G$21&gt;=$C$11,$G$21&gt;$D$11),(((($G$21*$E$11)-$F$11)/$G$21)*$L$12))))))))))))</f>
        <v>0</v>
      </c>
      <c r="I36" s="56" t="s">
        <v>41</v>
      </c>
      <c r="J36" s="27"/>
      <c r="O36" s="55"/>
    </row>
    <row r="37" spans="2:16" x14ac:dyDescent="0.3">
      <c r="B37" s="123"/>
      <c r="C37" s="126"/>
      <c r="D37" s="129"/>
      <c r="E37" s="132"/>
      <c r="F37" s="132"/>
      <c r="G37" s="132"/>
      <c r="H37" s="132"/>
      <c r="I37" s="31">
        <f>G23</f>
        <v>0</v>
      </c>
      <c r="J37" s="27" t="e">
        <f>I37/G23</f>
        <v>#DIV/0!</v>
      </c>
      <c r="K37" s="25" t="s">
        <v>61</v>
      </c>
      <c r="L37" s="25"/>
      <c r="M37" s="25"/>
      <c r="N37" s="25"/>
      <c r="O37" s="32"/>
      <c r="P37" s="32"/>
    </row>
    <row r="38" spans="2:16" ht="23.15" x14ac:dyDescent="0.3">
      <c r="B38" s="123"/>
      <c r="C38" s="126"/>
      <c r="D38" s="129"/>
      <c r="E38" s="132"/>
      <c r="F38" s="132"/>
      <c r="G38" s="132"/>
      <c r="H38" s="132"/>
      <c r="I38" s="56" t="s">
        <v>42</v>
      </c>
      <c r="J38" s="57" t="s">
        <v>62</v>
      </c>
      <c r="K38" s="57" t="s">
        <v>63</v>
      </c>
      <c r="L38" s="58" t="s">
        <v>8</v>
      </c>
      <c r="M38" s="58" t="s">
        <v>9</v>
      </c>
      <c r="N38" s="58" t="s">
        <v>38</v>
      </c>
      <c r="O38" s="58" t="s">
        <v>64</v>
      </c>
    </row>
    <row r="39" spans="2:16" x14ac:dyDescent="0.3">
      <c r="B39" s="124"/>
      <c r="C39" s="127"/>
      <c r="D39" s="130"/>
      <c r="E39" s="133"/>
      <c r="F39" s="133"/>
      <c r="G39" s="133"/>
      <c r="H39" s="133"/>
      <c r="I39" s="42">
        <f>IF($C$36=0,0,IF(AND(IF(AND(($G$22-$G$23)&lt;3600000,G21&gt;3600000),((($G$21*$E$10)-$F$10)/$G$21)*$M$11,IF(AND(($G$22-$G$23)&gt;=3600000.01),0,IF(G21=0,$E$6*$M$7,IF($G$21=0,$E$6*$M$7,IF(AND($G$21&gt;=$C$6,$G$21&lt;=$D$6),$E$6*$M$7,IF(AND($G$21&gt;=$C$7,$G$21&lt;=$D$7),((($G$21*$E$7)-$F$7)/$G$21)*$M$8,IF(AND($G$21&gt;=$C$8,$G$21&lt;=$D$8),((($G$21*$E$8)-$F$8)/$G$21)*$M$9,IF(AND($G$21&gt;=$C$9,$G$21&lt;=$D$9),((($G$21*$E$9)-$F$9)/$G$21)*$M$10,IF(AND($G$21&gt;=$C$10,$G$21&lt;=$D$10),((($G$21*$E$10)-$F$10)/$G$21)*$M$11,IF($G$21&gt;=$C$11,((($G$21*$E$10)-$F$10)/$G$21)*$M$11))))))))))&gt;5%),5%,IF(($G$22-$G$23)&gt;=3600000.01,0,IF(AND($G$21&gt;=$C$6,$G$21&lt;=$D$6),$E$6*$M$7,IF(AND($G$21&gt;=$C$7,$G$21&lt;=$D$7),((($G$21*$E$7)-$F$7)/$G$21)*$M$8,IF(AND($G$21&gt;=$C$8,$G$21&lt;=$D$8),((($G$21*$E$8)-$F$8)/$G$21)*$M$9,IF(AND($G$21&gt;=$C$9,$G$21&lt;=$D$9),((($G$21*$E$9)-$F$9)/$G$21)*$M$10,IF(AND($G$21&gt;=$C$10,$G$21&lt;=$D$10),((($G$21*$E$10)-$F$10)/$G$21)*$M$11,IF($G$21&gt;=$C$11,((($G$21*$E$10)-$F$10)/$G$21)*$M$11)))))))))</f>
        <v>0</v>
      </c>
      <c r="J39" s="59">
        <f>IF($G$22-$G$23&gt;4320000,0,IF($C$36=0,0,IF(AND(($G$22-$G$23)&lt;3600000,$G$21&gt;3600000),(((($G$21*$E$10)-$F$10)/$G$21)*$M$11),IF(AND(($G$22-$G$23)&gt;=3600000.01),0,IF($G$21=0,$E$6*$M$7,IF(AND($G$21&gt;=$C$6,$G$21&lt;=$D$6),$E$6*$M$7,IF(AND($G$21&gt;=$C$7,$G$21&lt;=$D$7),((($G$21*$E$7)-$F$7)/$G$21)*$M$8,IF(AND($G$21&gt;=$C$8,$G$21&lt;=$D$8),((($G$21*$E$8)-$F$8)/$G$21)*$M$9,IF(AND($G$21&gt;=$C$9,$G$21&lt;=$D$9),((($G$21*$E$9)-$F$9)/$G$21)*$M$10,IF(AND($G$21&gt;=$C$10,$G$21&lt;=$D$10),((($G$21*$E$10)-$F$10)/$G$21)*$M$11,IF(AND($G$21&gt;=$C$11,$G$21&gt;=$D$11),((($G$21*$E$10)-$F$10)/$G$21)*$M$11)))))))))))</f>
        <v>0</v>
      </c>
      <c r="K39" s="59">
        <f>J39-I39</f>
        <v>0</v>
      </c>
      <c r="L39" s="40">
        <f>K39*C18</f>
        <v>0</v>
      </c>
      <c r="M39" s="40">
        <f>K39*D18</f>
        <v>0</v>
      </c>
      <c r="N39" s="40">
        <f>K39*E18</f>
        <v>0</v>
      </c>
      <c r="O39" s="40">
        <f>K39*F18</f>
        <v>0</v>
      </c>
    </row>
    <row r="40" spans="2:16" x14ac:dyDescent="0.3">
      <c r="B40" s="84"/>
      <c r="C40" s="107"/>
      <c r="D40" s="84">
        <f>SUM(E40:I40)</f>
        <v>0</v>
      </c>
      <c r="E40" s="84">
        <f>$C$36*E36</f>
        <v>0</v>
      </c>
      <c r="F40" s="84">
        <f t="shared" ref="F40:H40" si="0">$C$36*F36</f>
        <v>0</v>
      </c>
      <c r="G40" s="84">
        <f t="shared" si="0"/>
        <v>0</v>
      </c>
      <c r="H40" s="84">
        <f t="shared" si="0"/>
        <v>0</v>
      </c>
      <c r="I40" s="84">
        <f>I37*I39</f>
        <v>0</v>
      </c>
      <c r="J40" s="60"/>
      <c r="K40" s="59"/>
      <c r="L40" s="61">
        <f>E34+L39</f>
        <v>0</v>
      </c>
      <c r="M40" s="61">
        <f>F34+M39</f>
        <v>0</v>
      </c>
      <c r="N40" s="61">
        <f>G34+N39</f>
        <v>0</v>
      </c>
      <c r="O40" s="61">
        <f>H34+O39</f>
        <v>0</v>
      </c>
    </row>
    <row r="41" spans="2:16" x14ac:dyDescent="0.3">
      <c r="B41" s="38"/>
      <c r="C41" s="104"/>
      <c r="D41" s="38"/>
      <c r="E41" s="38"/>
      <c r="F41" s="38"/>
      <c r="G41" s="38"/>
      <c r="H41" s="38"/>
      <c r="I41" s="38"/>
      <c r="J41" s="110"/>
      <c r="K41" s="59"/>
      <c r="L41" s="61"/>
      <c r="M41" s="61"/>
      <c r="N41" s="61"/>
      <c r="O41" s="61"/>
    </row>
    <row r="42" spans="2:16" x14ac:dyDescent="0.3">
      <c r="B42" s="85" t="s">
        <v>43</v>
      </c>
      <c r="C42" s="85"/>
      <c r="D42" s="108"/>
      <c r="E42" s="108"/>
      <c r="F42" s="108"/>
      <c r="G42" s="108"/>
      <c r="H42" s="108"/>
      <c r="I42" s="86"/>
    </row>
    <row r="43" spans="2:16" x14ac:dyDescent="0.3">
      <c r="B43" s="2"/>
      <c r="C43" s="2"/>
      <c r="D43" s="105"/>
      <c r="E43" s="105"/>
      <c r="F43" s="105"/>
      <c r="G43" s="105"/>
      <c r="H43" s="105"/>
      <c r="I43" s="100"/>
    </row>
    <row r="44" spans="2:16" x14ac:dyDescent="0.3">
      <c r="B44" s="33"/>
      <c r="D44" s="35"/>
      <c r="E44" s="94" t="s">
        <v>8</v>
      </c>
      <c r="F44" s="94" t="s">
        <v>9</v>
      </c>
      <c r="G44" s="94" t="s">
        <v>38</v>
      </c>
      <c r="H44" s="94" t="s">
        <v>39</v>
      </c>
      <c r="I44" s="94" t="s">
        <v>51</v>
      </c>
    </row>
    <row r="45" spans="2:16" ht="23.15" x14ac:dyDescent="0.3">
      <c r="B45" s="109" t="s">
        <v>44</v>
      </c>
      <c r="C45" s="73">
        <f>G29</f>
        <v>0</v>
      </c>
      <c r="D45" s="74">
        <f>SUM(E45:I45)</f>
        <v>0</v>
      </c>
      <c r="E45" s="75">
        <f>IF(G29=0,0,IF(AND($G$27&gt;=$C$6,$G$27&lt;=$D$6),($E$6*$I$7),IF(AND($G$27&gt;=$C$7,$G$27&lt;=$D$7),(((($G$27*$E$7)-$F$7)/$G$27)*$I$8),IF(AND($G$27&gt;=$C$8,$G$27&lt;=$D$8),(((($G$27*$E$8)-$F$8)/$G$27)*$I$9),IF(AND($G$27&gt;=$C$9,$G$27&lt;=$D$9),(((($G$27*$E$9)-$F$9)/$G$27)*$I$10),IF(AND($G$27&gt;=$C$10,$G$27&lt;=$D$10),(((($G$27*$E$10)-$F$10)/$G$27)*$I$11),IF(AND($G$27&gt;=$C$11,$G$27&lt;=$D$11),(((($G$27*$E$11)-$F$11)/$G$27)*$I$12),IF(AND($G$27&gt;=$C$11,$G$27&gt;$D$11),(((($G$27*$E$11)-$F$11)/$G$27)*$I$12)))))))))</f>
        <v>0</v>
      </c>
      <c r="F45" s="75">
        <f>IF(G29=0,0,IF(AND($G$27&gt;=$C$6,$G$27&lt;=$D$6),($E$6*$J$7),IF(AND($G$27&gt;=$C$7,$G$27&lt;=$D$7),(((($G$27*$E$7)-$F$7)/$G$27)*$J$8),IF(AND($G$27&gt;=$C$8,$G$27&lt;=$D$8),(((($G$27*$E$8)-$F$8)/$G$27)*$J$9),IF(AND($G$27&gt;=$C$9,$G$27&lt;=$D$9),(((($G$27*$E$9)-$F$9)/$G$27)*$J$10),IF(AND($G$27&gt;=$C$10,$G$27&lt;=$D$10),(((($G$27*$E$10)-$F$10)/$G$27)*$J$11),IF(AND($G$27&gt;=$C$11,$G$27&lt;=$D$11),(((($G$27*$E$11)-$F$11)/$G$27)*$J$12),IF(AND($G$27&gt;=$C$11,$G$27&gt;$D$11),(((($G$27*$E$11)-$F$11)/$G$27)*$J$12)))))))))</f>
        <v>0</v>
      </c>
      <c r="G45" s="75">
        <f>IF($G$29&gt;=0,0)</f>
        <v>0</v>
      </c>
      <c r="H45" s="75">
        <f>IF($G$29&gt;=0,0)</f>
        <v>0</v>
      </c>
      <c r="I45" s="75">
        <f>IF($G$29&gt;=0,0)</f>
        <v>0</v>
      </c>
    </row>
    <row r="46" spans="2:16" x14ac:dyDescent="0.3">
      <c r="B46" s="96"/>
      <c r="C46" s="94"/>
      <c r="D46" s="84">
        <f>SUM(E46:I46)</f>
        <v>0</v>
      </c>
      <c r="E46" s="84">
        <f>$C$45*E45</f>
        <v>0</v>
      </c>
      <c r="F46" s="84">
        <f t="shared" ref="F46:I46" si="1">$C$45*F45</f>
        <v>0</v>
      </c>
      <c r="G46" s="84">
        <f t="shared" si="1"/>
        <v>0</v>
      </c>
      <c r="H46" s="84">
        <f t="shared" si="1"/>
        <v>0</v>
      </c>
      <c r="I46" s="84">
        <f t="shared" si="1"/>
        <v>0</v>
      </c>
    </row>
    <row r="47" spans="2:16" x14ac:dyDescent="0.3">
      <c r="B47" s="33"/>
      <c r="D47" s="35"/>
      <c r="E47" s="35"/>
      <c r="F47" s="35"/>
      <c r="G47" s="35"/>
      <c r="H47" s="35"/>
      <c r="I47" s="35"/>
    </row>
    <row r="48" spans="2:16" x14ac:dyDescent="0.3">
      <c r="B48" s="82" t="s">
        <v>37</v>
      </c>
      <c r="C48" s="83">
        <f>C36+C45</f>
        <v>0</v>
      </c>
      <c r="D48" s="84">
        <f>D40+D46</f>
        <v>0</v>
      </c>
      <c r="E48" s="84">
        <f t="shared" ref="E48:I48" si="2">E40+E46</f>
        <v>0</v>
      </c>
      <c r="F48" s="84">
        <f t="shared" si="2"/>
        <v>0</v>
      </c>
      <c r="G48" s="84">
        <f t="shared" si="2"/>
        <v>0</v>
      </c>
      <c r="H48" s="84">
        <f t="shared" si="2"/>
        <v>0</v>
      </c>
      <c r="I48" s="84">
        <f t="shared" si="2"/>
        <v>0</v>
      </c>
    </row>
    <row r="49" spans="2:9" x14ac:dyDescent="0.3">
      <c r="D49" s="62"/>
      <c r="E49" s="62"/>
      <c r="F49" s="62"/>
      <c r="G49" s="62"/>
      <c r="H49" s="62"/>
      <c r="I49" s="62"/>
    </row>
    <row r="50" spans="2:9" ht="18" customHeight="1" x14ac:dyDescent="0.3">
      <c r="B50" s="39"/>
      <c r="C50" s="63"/>
      <c r="D50" s="64"/>
      <c r="E50" s="64"/>
      <c r="F50" s="64"/>
      <c r="G50" s="64"/>
      <c r="H50" s="64"/>
      <c r="I50" s="64"/>
    </row>
  </sheetData>
  <mergeCells count="16">
    <mergeCell ref="H5:H6"/>
    <mergeCell ref="I5:M5"/>
    <mergeCell ref="F36:F39"/>
    <mergeCell ref="G36:G39"/>
    <mergeCell ref="B2:E2"/>
    <mergeCell ref="B3:E3"/>
    <mergeCell ref="B5:D5"/>
    <mergeCell ref="H36:H39"/>
    <mergeCell ref="B14:G14"/>
    <mergeCell ref="B15:G15"/>
    <mergeCell ref="B16:G16"/>
    <mergeCell ref="B17:B18"/>
    <mergeCell ref="B36:B39"/>
    <mergeCell ref="C36:C39"/>
    <mergeCell ref="D36:D39"/>
    <mergeCell ref="E36:E39"/>
  </mergeCells>
  <dataValidations disablePrompts="1" count="1">
    <dataValidation type="list" allowBlank="1" showInputMessage="1" showErrorMessage="1" sqref="I32:I33" xr:uid="{69BC10EE-C493-4125-883B-969278ADB35D}">
      <formula1>#REF!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472C1-1F83-4887-8AFC-116583B117EB}">
  <sheetPr codeName="Planilha9">
    <tabColor theme="9" tint="0.79998168889431442"/>
  </sheetPr>
  <dimension ref="B2:R49"/>
  <sheetViews>
    <sheetView showGridLines="0" workbookViewId="0"/>
  </sheetViews>
  <sheetFormatPr defaultColWidth="9.07421875" defaultRowHeight="11.6" x14ac:dyDescent="0.3"/>
  <cols>
    <col min="1" max="1" width="2.69140625" style="1" customWidth="1"/>
    <col min="2" max="2" width="21.4609375" style="1" bestFit="1" customWidth="1"/>
    <col min="3" max="3" width="18.4609375" style="1" customWidth="1"/>
    <col min="4" max="4" width="14.4609375" style="1" customWidth="1"/>
    <col min="5" max="5" width="27.84375" style="1" bestFit="1" customWidth="1"/>
    <col min="6" max="6" width="16.07421875" style="1" customWidth="1"/>
    <col min="7" max="7" width="17" style="1" customWidth="1"/>
    <col min="8" max="8" width="12.07421875" style="1" customWidth="1"/>
    <col min="9" max="9" width="15.07421875" style="1" customWidth="1"/>
    <col min="10" max="10" width="14.3046875" style="1" customWidth="1"/>
    <col min="11" max="11" width="18.07421875" style="1" bestFit="1" customWidth="1"/>
    <col min="12" max="12" width="14" style="1" customWidth="1"/>
    <col min="13" max="13" width="13" style="1" customWidth="1"/>
    <col min="14" max="14" width="9.07421875" style="1"/>
    <col min="15" max="15" width="9.84375" style="1" bestFit="1" customWidth="1"/>
    <col min="16" max="16" width="24.4609375" style="1" customWidth="1"/>
    <col min="17" max="17" width="15.53515625" style="1" customWidth="1"/>
    <col min="18" max="18" width="14.84375" style="1" customWidth="1"/>
    <col min="19" max="19" width="13" style="1" customWidth="1"/>
    <col min="20" max="16384" width="9.07421875" style="1"/>
  </cols>
  <sheetData>
    <row r="2" spans="2:18" x14ac:dyDescent="0.3">
      <c r="B2" s="113" t="s">
        <v>67</v>
      </c>
      <c r="C2" s="113"/>
      <c r="D2" s="113"/>
      <c r="E2" s="113"/>
    </row>
    <row r="3" spans="2:18" ht="36" customHeight="1" thickBot="1" x14ac:dyDescent="0.35">
      <c r="B3" s="113" t="s">
        <v>50</v>
      </c>
      <c r="C3" s="113"/>
      <c r="D3" s="113"/>
      <c r="E3" s="113"/>
    </row>
    <row r="4" spans="2:18" ht="24.75" customHeight="1" thickBot="1" x14ac:dyDescent="0.35">
      <c r="B4" s="114" t="s">
        <v>2</v>
      </c>
      <c r="C4" s="115"/>
      <c r="D4" s="116"/>
      <c r="E4" s="87" t="s">
        <v>3</v>
      </c>
      <c r="F4" s="88" t="s">
        <v>4</v>
      </c>
      <c r="H4" s="117" t="s">
        <v>5</v>
      </c>
      <c r="I4" s="114" t="s">
        <v>6</v>
      </c>
      <c r="J4" s="115"/>
      <c r="K4" s="115"/>
      <c r="L4" s="115"/>
      <c r="M4" s="115"/>
      <c r="N4" s="116"/>
    </row>
    <row r="5" spans="2:18" ht="15" thickBot="1" x14ac:dyDescent="0.45">
      <c r="B5" s="50" t="s">
        <v>7</v>
      </c>
      <c r="C5" s="6">
        <v>0</v>
      </c>
      <c r="D5" s="6">
        <v>180000</v>
      </c>
      <c r="E5" s="7">
        <v>0.155</v>
      </c>
      <c r="F5" s="8">
        <v>0</v>
      </c>
      <c r="G5" s="111">
        <f>(((4800000*E5)-F5)/4800000)</f>
        <v>0.155</v>
      </c>
      <c r="H5" s="118"/>
      <c r="I5" s="89" t="s">
        <v>8</v>
      </c>
      <c r="J5" s="89" t="s">
        <v>9</v>
      </c>
      <c r="K5" s="89" t="s">
        <v>10</v>
      </c>
      <c r="L5" s="89" t="s">
        <v>11</v>
      </c>
      <c r="M5" s="89" t="s">
        <v>51</v>
      </c>
      <c r="N5" s="89" t="s">
        <v>12</v>
      </c>
      <c r="O5" s="9"/>
      <c r="P5" s="9"/>
    </row>
    <row r="6" spans="2:18" ht="12" thickBot="1" x14ac:dyDescent="0.35">
      <c r="B6" s="50" t="s">
        <v>14</v>
      </c>
      <c r="C6" s="6">
        <v>180000.01</v>
      </c>
      <c r="D6" s="6">
        <v>360000</v>
      </c>
      <c r="E6" s="7">
        <v>0.18</v>
      </c>
      <c r="F6" s="10">
        <v>4500</v>
      </c>
      <c r="H6" s="5" t="s">
        <v>7</v>
      </c>
      <c r="I6" s="7">
        <v>0.25</v>
      </c>
      <c r="J6" s="7">
        <v>0.15</v>
      </c>
      <c r="K6" s="7">
        <v>0.14099999999999999</v>
      </c>
      <c r="L6" s="7">
        <v>3.0499999999999999E-2</v>
      </c>
      <c r="M6" s="11">
        <v>0.14000000000000001</v>
      </c>
      <c r="N6" s="11">
        <v>0.28849999999999998</v>
      </c>
      <c r="O6" s="12"/>
      <c r="P6" s="12"/>
    </row>
    <row r="7" spans="2:18" ht="12" thickBot="1" x14ac:dyDescent="0.35">
      <c r="B7" s="50" t="s">
        <v>15</v>
      </c>
      <c r="C7" s="6">
        <v>360000.01</v>
      </c>
      <c r="D7" s="6">
        <v>720000</v>
      </c>
      <c r="E7" s="7">
        <v>0.19500000000000001</v>
      </c>
      <c r="F7" s="10">
        <v>9900</v>
      </c>
      <c r="H7" s="5" t="s">
        <v>14</v>
      </c>
      <c r="I7" s="7">
        <v>0.23</v>
      </c>
      <c r="J7" s="7">
        <v>0.15</v>
      </c>
      <c r="K7" s="7">
        <v>0.14099999999999999</v>
      </c>
      <c r="L7" s="7">
        <v>3.0499999999999999E-2</v>
      </c>
      <c r="M7" s="11">
        <v>0.17</v>
      </c>
      <c r="N7" s="11">
        <v>0.27850000000000003</v>
      </c>
      <c r="O7" s="12"/>
      <c r="P7" s="12"/>
    </row>
    <row r="8" spans="2:18" ht="12" thickBot="1" x14ac:dyDescent="0.35">
      <c r="B8" s="50" t="s">
        <v>16</v>
      </c>
      <c r="C8" s="6">
        <v>720000.01</v>
      </c>
      <c r="D8" s="6">
        <v>1800000</v>
      </c>
      <c r="E8" s="7">
        <v>0.20499999999999999</v>
      </c>
      <c r="F8" s="10">
        <v>17100</v>
      </c>
      <c r="H8" s="5" t="s">
        <v>15</v>
      </c>
      <c r="I8" s="7">
        <v>0.24</v>
      </c>
      <c r="J8" s="7">
        <v>0.15</v>
      </c>
      <c r="K8" s="7">
        <v>0.1492</v>
      </c>
      <c r="L8" s="7">
        <v>3.2300000000000002E-2</v>
      </c>
      <c r="M8" s="11">
        <v>0.19</v>
      </c>
      <c r="N8" s="11">
        <v>0.23849999999999999</v>
      </c>
      <c r="O8" s="12"/>
      <c r="P8" s="12"/>
    </row>
    <row r="9" spans="2:18" ht="12" thickBot="1" x14ac:dyDescent="0.35">
      <c r="B9" s="50" t="s">
        <v>17</v>
      </c>
      <c r="C9" s="6">
        <v>1800000.01</v>
      </c>
      <c r="D9" s="6">
        <v>3600000</v>
      </c>
      <c r="E9" s="7">
        <v>0.23</v>
      </c>
      <c r="F9" s="10">
        <v>62100</v>
      </c>
      <c r="H9" s="5" t="s">
        <v>16</v>
      </c>
      <c r="I9" s="7">
        <v>0.21</v>
      </c>
      <c r="J9" s="7">
        <v>0.15</v>
      </c>
      <c r="K9" s="7">
        <v>0.15740000000000001</v>
      </c>
      <c r="L9" s="7">
        <v>3.4099999999999998E-2</v>
      </c>
      <c r="M9" s="11">
        <v>0.21</v>
      </c>
      <c r="N9" s="11">
        <v>0.23849999999999999</v>
      </c>
      <c r="O9" s="12"/>
      <c r="P9" s="12"/>
    </row>
    <row r="10" spans="2:18" ht="15" thickBot="1" x14ac:dyDescent="0.45">
      <c r="B10" s="50" t="s">
        <v>18</v>
      </c>
      <c r="C10" s="14">
        <v>3600000.01</v>
      </c>
      <c r="D10" s="14">
        <v>4800000</v>
      </c>
      <c r="E10" s="15">
        <v>0.30499999999999999</v>
      </c>
      <c r="F10" s="16">
        <v>540000</v>
      </c>
      <c r="G10" s="111">
        <f>(((4800000*E10)-F10)/4800000)</f>
        <v>0.1925</v>
      </c>
      <c r="H10" s="5" t="s">
        <v>17</v>
      </c>
      <c r="I10" s="7">
        <v>0.23</v>
      </c>
      <c r="J10" s="7">
        <v>0.125</v>
      </c>
      <c r="K10" s="7">
        <v>0.14099999999999999</v>
      </c>
      <c r="L10" s="7">
        <v>3.0499999999999999E-2</v>
      </c>
      <c r="M10" s="11">
        <v>0.23499999999999999</v>
      </c>
      <c r="N10" s="11">
        <v>0.23849999999999999</v>
      </c>
      <c r="O10" s="12"/>
      <c r="P10" s="12"/>
    </row>
    <row r="11" spans="2:18" ht="12" thickBot="1" x14ac:dyDescent="0.35">
      <c r="B11" s="17"/>
      <c r="H11" s="13" t="s">
        <v>18</v>
      </c>
      <c r="I11" s="15">
        <v>0.35</v>
      </c>
      <c r="J11" s="15">
        <v>0.155</v>
      </c>
      <c r="K11" s="15">
        <v>0.16439999999999999</v>
      </c>
      <c r="L11" s="15">
        <v>3.56E-2</v>
      </c>
      <c r="M11" s="67">
        <v>0</v>
      </c>
      <c r="N11" s="67">
        <v>0.29499999999999998</v>
      </c>
      <c r="O11" s="12"/>
      <c r="P11" s="12"/>
    </row>
    <row r="12" spans="2:18" x14ac:dyDescent="0.3">
      <c r="B12" s="17"/>
      <c r="H12" s="19"/>
      <c r="I12" s="20"/>
      <c r="J12" s="20"/>
      <c r="K12" s="20"/>
      <c r="L12" s="20"/>
      <c r="M12" s="20"/>
      <c r="N12" s="19"/>
      <c r="O12" s="12"/>
      <c r="P12" s="12"/>
      <c r="Q12" s="12"/>
      <c r="R12" s="12"/>
    </row>
    <row r="13" spans="2:18" ht="30" customHeight="1" x14ac:dyDescent="0.3">
      <c r="B13" s="134" t="s">
        <v>52</v>
      </c>
      <c r="C13" s="135"/>
      <c r="D13" s="135"/>
      <c r="E13" s="135"/>
      <c r="F13" s="135"/>
      <c r="G13" s="135"/>
      <c r="H13" s="136"/>
      <c r="I13" s="20"/>
      <c r="J13" s="20"/>
      <c r="K13" s="20"/>
      <c r="L13" s="20"/>
      <c r="M13" s="19"/>
      <c r="N13" s="12"/>
      <c r="O13" s="12"/>
      <c r="P13" s="12"/>
      <c r="Q13" s="12"/>
    </row>
    <row r="14" spans="2:18" ht="27" customHeight="1" x14ac:dyDescent="0.3">
      <c r="B14" s="137" t="s">
        <v>65</v>
      </c>
      <c r="C14" s="138"/>
      <c r="D14" s="138"/>
      <c r="E14" s="138"/>
      <c r="F14" s="138"/>
      <c r="G14" s="138"/>
      <c r="H14" s="139"/>
      <c r="I14" s="20"/>
      <c r="J14" s="20"/>
      <c r="K14" s="20"/>
      <c r="L14" s="20"/>
      <c r="M14" s="19"/>
      <c r="N14" s="12"/>
      <c r="O14" s="12"/>
      <c r="P14" s="12"/>
      <c r="Q14" s="12"/>
    </row>
    <row r="15" spans="2:18" ht="24" customHeight="1" x14ac:dyDescent="0.3">
      <c r="B15" s="137" t="s">
        <v>58</v>
      </c>
      <c r="C15" s="138"/>
      <c r="D15" s="138"/>
      <c r="E15" s="138"/>
      <c r="F15" s="138"/>
      <c r="G15" s="138"/>
      <c r="H15" s="139"/>
      <c r="I15" s="20"/>
      <c r="J15" s="20"/>
      <c r="K15" s="20"/>
      <c r="L15" s="20"/>
      <c r="M15" s="19"/>
      <c r="N15" s="12"/>
      <c r="O15" s="12"/>
      <c r="P15" s="12"/>
      <c r="Q15" s="12"/>
    </row>
    <row r="16" spans="2:18" ht="24" customHeight="1" x14ac:dyDescent="0.3">
      <c r="B16" s="140" t="s">
        <v>48</v>
      </c>
      <c r="C16" s="103" t="s">
        <v>8</v>
      </c>
      <c r="D16" s="103" t="s">
        <v>9</v>
      </c>
      <c r="E16" s="103" t="s">
        <v>38</v>
      </c>
      <c r="F16" s="103" t="s">
        <v>59</v>
      </c>
      <c r="G16" s="103" t="s">
        <v>12</v>
      </c>
      <c r="H16" s="103" t="s">
        <v>37</v>
      </c>
      <c r="I16" s="20"/>
      <c r="J16" s="20"/>
      <c r="K16" s="20"/>
      <c r="L16" s="20"/>
      <c r="M16" s="19"/>
      <c r="N16" s="12"/>
      <c r="O16" s="12"/>
      <c r="P16" s="12"/>
      <c r="Q16" s="12"/>
    </row>
    <row r="17" spans="2:18" ht="15" customHeight="1" x14ac:dyDescent="0.3">
      <c r="B17" s="141"/>
      <c r="C17" s="68">
        <v>0.30070000000000002</v>
      </c>
      <c r="D17" s="68">
        <v>0.16339999999999999</v>
      </c>
      <c r="E17" s="68">
        <v>0.18429999999999999</v>
      </c>
      <c r="F17" s="68">
        <v>3.9899999999999998E-2</v>
      </c>
      <c r="G17" s="68">
        <v>0.31169999999999998</v>
      </c>
      <c r="H17" s="49">
        <f>SUM(C17:G17)</f>
        <v>1</v>
      </c>
      <c r="I17" s="20"/>
      <c r="J17" s="20"/>
      <c r="K17" s="20"/>
      <c r="L17" s="20"/>
      <c r="M17" s="19"/>
      <c r="N17" s="12"/>
      <c r="O17" s="12"/>
      <c r="P17" s="12"/>
      <c r="Q17" s="12"/>
    </row>
    <row r="18" spans="2:18" ht="12" thickBot="1" x14ac:dyDescent="0.35">
      <c r="B18" s="17"/>
      <c r="C18" s="4"/>
      <c r="D18" s="4"/>
      <c r="E18" s="4"/>
      <c r="F18" s="4"/>
      <c r="G18" s="4"/>
      <c r="H18" s="19"/>
      <c r="I18" s="20"/>
      <c r="J18" s="51" t="s">
        <v>53</v>
      </c>
      <c r="K18" s="20"/>
      <c r="L18" s="52" t="s">
        <v>54</v>
      </c>
      <c r="M18" s="52" t="s">
        <v>55</v>
      </c>
      <c r="N18" s="19"/>
      <c r="O18" s="12"/>
      <c r="P18" s="12"/>
      <c r="Q18" s="12"/>
      <c r="R18" s="12"/>
    </row>
    <row r="19" spans="2:18" ht="12" thickBot="1" x14ac:dyDescent="0.35">
      <c r="B19" s="1" t="s">
        <v>74</v>
      </c>
      <c r="G19" s="23">
        <v>0</v>
      </c>
      <c r="H19" s="38" t="s">
        <v>75</v>
      </c>
      <c r="I19" s="35">
        <f>G21-3600000</f>
        <v>-3600000</v>
      </c>
      <c r="J19" s="53" t="s">
        <v>56</v>
      </c>
      <c r="K19" s="27" t="e">
        <f>I19/G22</f>
        <v>#DIV/0!</v>
      </c>
      <c r="L19" s="35" t="e">
        <f>I24*K19</f>
        <v>#DIV/0!</v>
      </c>
      <c r="M19" s="35" t="e">
        <f>I23*K19</f>
        <v>#DIV/0!</v>
      </c>
    </row>
    <row r="20" spans="2:18" ht="12" thickBot="1" x14ac:dyDescent="0.35">
      <c r="B20" s="1" t="s">
        <v>21</v>
      </c>
      <c r="F20" s="22"/>
      <c r="G20" s="23">
        <v>0</v>
      </c>
      <c r="H20" s="27" t="e">
        <f>G19/G20</f>
        <v>#DIV/0!</v>
      </c>
      <c r="I20" s="35">
        <f>G22-I19</f>
        <v>3600000</v>
      </c>
      <c r="J20" s="53" t="s">
        <v>57</v>
      </c>
      <c r="K20" s="27" t="e">
        <f>I20/G22</f>
        <v>#DIV/0!</v>
      </c>
      <c r="L20" s="35" t="e">
        <f>I24*K20</f>
        <v>#DIV/0!</v>
      </c>
      <c r="M20" s="35" t="e">
        <f>I23*K20</f>
        <v>#DIV/0!</v>
      </c>
      <c r="Q20" s="23"/>
    </row>
    <row r="21" spans="2:18" ht="12" thickBot="1" x14ac:dyDescent="0.35">
      <c r="B21" s="1" t="s">
        <v>24</v>
      </c>
      <c r="F21" s="22"/>
      <c r="G21" s="23">
        <v>0</v>
      </c>
      <c r="K21" s="25"/>
      <c r="L21" s="54"/>
      <c r="M21" s="55"/>
      <c r="N21" s="55"/>
    </row>
    <row r="22" spans="2:18" ht="12" thickBot="1" x14ac:dyDescent="0.35">
      <c r="B22" s="1" t="s">
        <v>25</v>
      </c>
      <c r="D22" s="22"/>
      <c r="E22" s="24"/>
      <c r="F22" s="22"/>
      <c r="G22" s="23">
        <v>0</v>
      </c>
      <c r="J22" s="2" t="s">
        <v>60</v>
      </c>
      <c r="K22" s="25"/>
      <c r="L22" s="54"/>
    </row>
    <row r="23" spans="2:18" ht="12" thickBot="1" x14ac:dyDescent="0.35">
      <c r="B23" s="1" t="s">
        <v>26</v>
      </c>
      <c r="F23" s="2"/>
      <c r="G23" s="26">
        <f>IF($G$20=0,$E$5,(IF(AND($G$20&gt;=$C$5,$G$20&lt;=$D$5),((($G$20*$E$5)-$F$5)/$G$20),IF(AND($G$20&gt;=$C$6,$G$20&lt;=$D$6),((($G$20*$E$6)-$F$6)/$G$20),IF(AND($G$20&gt;=$C$7,$G$20&lt;=$D$7),((($G$20*$E$7)-$F$7)/$G$20),IF(AND($G$20&gt;=$C$8,$G$20&lt;=$D$8),((($G$20*$E$8)-$F$8)/$G$20),IF(AND($G$20&gt;=$C$9,$G$20&lt;=$D$9),((($G$20*$E$9)-$F$9)/$G$20),IF(AND($G$20&gt;=$C$10),((($G$20*$E$10)-$F$10)/$G$20)))))))))</f>
        <v>0.155</v>
      </c>
      <c r="H23" s="35"/>
      <c r="I23" s="35">
        <f>G21-4800000</f>
        <v>-4800000</v>
      </c>
      <c r="J23" s="53" t="s">
        <v>56</v>
      </c>
      <c r="K23" s="27" t="e">
        <f>I23/G22</f>
        <v>#DIV/0!</v>
      </c>
      <c r="Q23" s="1" t="s">
        <v>27</v>
      </c>
      <c r="R23" s="1" t="s">
        <v>28</v>
      </c>
    </row>
    <row r="24" spans="2:18" ht="12" thickBot="1" x14ac:dyDescent="0.35">
      <c r="F24" s="2"/>
      <c r="G24" s="60"/>
      <c r="H24" s="35"/>
      <c r="I24" s="35">
        <f>G22-I23</f>
        <v>4800000</v>
      </c>
      <c r="J24" s="53" t="s">
        <v>57</v>
      </c>
      <c r="K24" s="27" t="e">
        <f>I24/G22</f>
        <v>#DIV/0!</v>
      </c>
      <c r="L24" s="35"/>
      <c r="Q24" s="28"/>
      <c r="R24" s="23"/>
    </row>
    <row r="25" spans="2:18" ht="12" thickBot="1" x14ac:dyDescent="0.35">
      <c r="H25" s="35"/>
      <c r="J25" s="27"/>
      <c r="R25" s="23"/>
    </row>
    <row r="26" spans="2:18" ht="12" thickBot="1" x14ac:dyDescent="0.35">
      <c r="B26" s="1" t="s">
        <v>29</v>
      </c>
      <c r="F26" s="22"/>
      <c r="G26" s="23">
        <v>0</v>
      </c>
      <c r="H26" s="35"/>
      <c r="I26" s="35"/>
      <c r="R26" s="23"/>
    </row>
    <row r="27" spans="2:18" ht="12" thickBot="1" x14ac:dyDescent="0.35">
      <c r="B27" s="1" t="s">
        <v>31</v>
      </c>
      <c r="F27" s="22"/>
      <c r="G27" s="23">
        <v>0</v>
      </c>
      <c r="H27" s="35"/>
      <c r="I27" s="35"/>
      <c r="R27" s="29"/>
    </row>
    <row r="28" spans="2:18" ht="12" thickBot="1" x14ac:dyDescent="0.35">
      <c r="B28" s="1" t="s">
        <v>32</v>
      </c>
      <c r="F28" s="22"/>
      <c r="G28" s="23">
        <v>0</v>
      </c>
      <c r="H28" s="35"/>
      <c r="I28" s="65"/>
    </row>
    <row r="29" spans="2:18" ht="12" thickBot="1" x14ac:dyDescent="0.35">
      <c r="B29" s="1" t="s">
        <v>26</v>
      </c>
      <c r="G29" s="26">
        <f>IF(G28=0,0,IF($G$26=0,$E$5,IF(AND($G$26&gt;=$C$5,$G$26&lt;=$D$5),((($G$26*$E$5)-$F$5)/$G$26),IF(AND($G$26&gt;=$C$6,$G$26&lt;=$D$6),((($G$26*$E$6)-$F$6)/$G$26),IF(AND($G$26&gt;=$C$7,$G$26&lt;=$D$7),((($G$26*$E$7)-$F$7)/$G$26),IF(AND($G$26&gt;=$C$8,$G$26&lt;=$D$8),((($G$26*$E$8)-$F$8)/$G$26),IF(AND($G$26&gt;=$C$9,$G$26&lt;=$D$9),((($G$26*$E$9)-$F$9)/$G$26),IF($G$26&gt;=$C$10,((($G$26*$E$10)-$F$10)/$G$26)))))))))</f>
        <v>0</v>
      </c>
      <c r="J29" s="30"/>
    </row>
    <row r="30" spans="2:18" x14ac:dyDescent="0.3">
      <c r="E30" s="66"/>
      <c r="J30" s="30"/>
    </row>
    <row r="31" spans="2:18" x14ac:dyDescent="0.3">
      <c r="E31" s="4"/>
      <c r="F31" s="4"/>
      <c r="G31" s="4"/>
      <c r="H31" s="4"/>
    </row>
    <row r="32" spans="2:18" x14ac:dyDescent="0.3">
      <c r="B32" s="85" t="s">
        <v>35</v>
      </c>
      <c r="C32" s="85"/>
      <c r="D32" s="85"/>
      <c r="E32" s="106"/>
      <c r="F32" s="106"/>
      <c r="G32" s="106"/>
      <c r="H32" s="106"/>
      <c r="I32" s="106"/>
      <c r="J32" s="85"/>
    </row>
    <row r="33" spans="2:17" x14ac:dyDescent="0.3">
      <c r="C33" s="35"/>
      <c r="D33" s="4"/>
      <c r="E33" s="40"/>
      <c r="F33" s="40"/>
      <c r="G33" s="40"/>
      <c r="H33" s="40"/>
      <c r="I33" s="40"/>
      <c r="J33" s="4"/>
    </row>
    <row r="34" spans="2:17" x14ac:dyDescent="0.3">
      <c r="B34" s="93" t="s">
        <v>36</v>
      </c>
      <c r="C34" s="107" t="e">
        <f>C35/G22</f>
        <v>#DIV/0!</v>
      </c>
      <c r="D34" s="94" t="s">
        <v>37</v>
      </c>
      <c r="E34" s="94" t="s">
        <v>8</v>
      </c>
      <c r="F34" s="94" t="s">
        <v>9</v>
      </c>
      <c r="G34" s="94" t="s">
        <v>38</v>
      </c>
      <c r="H34" s="94" t="s">
        <v>39</v>
      </c>
      <c r="I34" s="94" t="s">
        <v>12</v>
      </c>
      <c r="J34" s="94" t="s">
        <v>51</v>
      </c>
    </row>
    <row r="35" spans="2:17" ht="45" customHeight="1" x14ac:dyDescent="0.3">
      <c r="B35" s="122" t="s">
        <v>40</v>
      </c>
      <c r="C35" s="125">
        <f>G22</f>
        <v>0</v>
      </c>
      <c r="D35" s="128">
        <f>SUM(E35:I38)+J38</f>
        <v>0</v>
      </c>
      <c r="E35" s="131">
        <f>IF(G21-G22&gt;3600000+(3600000*0.2),E33,IF($C$35=0,0,IF($G$20=0,$E$5*$I$6,IF(IF(AND($G$20&gt;=$C$5,$G$20&lt;=$D$5),$E$5*$M$6,IF(AND($G$20&gt;=$C$6,$G$20&lt;=$D$6),((($G$20*$E$6)-$F$6)/$G$20)*$M$7,IF(AND($G$20&gt;=$C$7,$G$20&lt;=$D$7),((($G$20*$E$7)-$F$7)/$G$20)*$M$8,IF(AND($G$20&gt;=$C$8,$G$20&lt;=$D$8),((($G$20*$E$8)-$F$8)/$G$20)*$M$9,IF(AND($G$20&gt;=$C$9,$G$20&lt;=$D$9),((($G$20*$E$9)-$F$9)/$G$20)*$M$10,IF($G$20&gt;=$C$10,((($G$20*$E$9)-$F$9)/$G$20)*$M$10,IF(AND($G$21-$G$22)&gt;3600000,(((3600000*$E$9)-$F$9)/3600000)*$M$10)))))))&gt;5%,IF(AND($G$20&gt;=$C$5,$G$20&lt;=$D$5),($E$5*$I$6)+($L$38*$C$17),IF(AND($G$20&gt;=$C$6,$G$20&lt;=$D$6),(((($G$20*$E$6)-$F$6)/$G$20)*$I$7)+($L$38*$C$17),IF(AND($G$20&gt;=$C$7,$G$20&lt;=$D$7),(((($G$20*$E$7)-$F$7)/$G$20)*$I$8)+($L$38*$C$17),IF(AND($G$20&gt;=$C$8,$G$20&lt;=$D$8),(((($G$20*$E$8)-$F$8)/$G$20)*$I$9)+($L$38*$C$17),IF(AND($G$20&gt;=$C$9,$G$20&lt;=$D$9),(((($G$20*$E$9)-$F$9)/$G$20)*$I$10)+($L$38*$C$17),IF($G$20&gt;=$C$10,(((($G$20*$E$10)-$F$10)/$G$20)*$I$11)+($L$38*$C$17))))))),IF(AND($G$20&gt;=$C$5,$G$20&lt;=$D$5),($E$5*$I$6),IF(AND($G$20&gt;=$C$6,$G$20&lt;=$D$6),(((($G$20*$E$6)-$F$6)/$G$20)*$I$7),IF(AND($G$20&gt;=$C$7,$G$20&lt;=$D$7),(((($G$20*$E$7)-$F$7)/$G$20)*$I$8),IF(AND($G$20&gt;=$C$8,$G$20&lt;=$D$8),(((($G$20*$E$8)-$F$8)/$G$20)*$I$9),IF(AND($G$20&gt;=$C$9,$G$20&lt;=$D$9),(((($G$20*$E$9)-$F$9)/$G$20)*$I$10),IF($G$20&gt;=$C$10,(((($G$20*$E$10)-$F$10)/$G$20)*$I$11)))))))))))</f>
        <v>0</v>
      </c>
      <c r="F35" s="131">
        <f>IF(G21-G22&gt;3600000+(3600000*0.2),F33,IF($C$35=0,0,IF($G$20=0,$E$5*$J$6,IF(IF(AND($G$20&gt;=$C$5,$G$20&lt;=$D$5),$E$5*$M$6,IF(AND($G$20&gt;=$C$6,$G$20&lt;=$D$6),((($G$20*$E$6)-$F$6)/$G$20)*$M$7,IF(AND($G$20&gt;=$C$7,$G$20&lt;=$D$7),((($G$20*$E$7)-$F$7)/$G$20)*$M$8,IF(AND($G$20&gt;=$C$8,$G$20&lt;=$D$8),((($G$20*$E$8)-$F$8)/$G$20)*$M$9,IF(AND($G$20&gt;=$C$9,$G$20&lt;=$D$9),((($G$20*$E$9)-$F$9)/$G$20)*$M$10,IF($G$20&gt;=$C$10,((($G$20*$E$9)-$F$9)/$G$20)*$M$10,IF(AND($G$21-$G$22)&gt;3600000,(((3600000*$E$9)-$F$9)/3600000)*$M$10)))))))&gt;5%,IF(AND($G$20&gt;=$C$5,$G$20&lt;=$D$5),($E$5*$J$6)+($L$38*$D$17),IF(AND($G$20&gt;=$C$6,$G$20&lt;=$D$6),(((($G$20*$E$6)-$F$6)/$G$20)*$J$7)+($L$38*$D$17),IF(AND($G$20&gt;=$C$7,$G$20&lt;=$D$7),(((($G$20*$E$7)-$F$7)/$G$20)*$J$8)+($L$38*$D$17),IF(AND($G$20&gt;=$C$8,$G$20&lt;=$D$8),(((($G$20*$E$8)-$F$8)/$G$20)*$J$9)+($L$38*$D$17),IF(AND($G$20&gt;=$C$9,$G$20&lt;=$D$9),(((($G$20*$E$9)-$F$9)/$G$20)*$J$10)+($L$38*$D$17),IF($G$20&gt;=$C$10,(((($G$20*$E$10)-$F$10)/$G$20)*$J$11)+($L$38*$D$17))))))),IF(AND($G$20&gt;=$C$5,$G$20&lt;=$D$5),($E$5*$J$6),IF(AND($G$20&gt;=$C$6,$G$20&lt;=$D$6),(((($G$20*$E$6)-$F$6)/$G$20)*$J$7),IF(AND($G$20&gt;=$C$7,$G$20&lt;=$D$7),(((($G$20*$E$7)-$F$7)/$G$20)*$J$8),IF(AND($G$20&gt;=$C$8,$G$20&lt;=$D$8),(((($G$20*$E$8)-$F$8)/$G$20)*$J$9),IF(AND($G$20&gt;=$C$9,$G$20&lt;=$D$9),(((($G$20*$E$9)-$F$9)/$G$20)*$J$10),IF($G$20&gt;=$C$10,(((($G$20*$E$10)-$F$10)/$G$20)*$J$11)))))))))))</f>
        <v>0</v>
      </c>
      <c r="G35" s="131">
        <f>IF(G21-G22&gt;3600000+(3600000*0.2),G33,IF($C$35=0,0,IF($G$20=0,$E$5*$K$6,IF(IF(AND($G$20&gt;=$C$5,$G$20&lt;=$D$5),$E$5*$M$6,IF(AND($G$20&gt;=$C$6,$G$20&lt;=$D$6),((($G$20*$E$6)-$F$6)/$G$20)*$M$7,IF(AND($G$20&gt;=$C$7,$G$20&lt;=$D$7),((($G$20*$E$7)-$F$7)/$G$20)*$M$8,IF(AND($G$20&gt;=$C$8,$G$20&lt;=$D$8),((($G$20*$E$8)-$F$8)/$G$20)*$M$9,IF(AND($G$20&gt;=$C$9,$G$20&lt;=$D$9),((($G$20*$E$9)-$F$9)/$G$20)*$M$10,IF($G$20&gt;=$C$10,((($G$20*$E$9)-$F$9)/$G$20)*$M$10,IF(AND($G$21-$G$22)&gt;3600000,(((3600000*$E$9)-$F$9)/3600000)*$M$10)))))))&gt;5%,IF(AND($G$20&gt;=$C$5,$G$20&lt;=$D$5),($E$5*$K$6)+($L$38*$E$17),IF(AND($G$20&gt;=$C$6,$G$20&lt;=$D$6),(((($G$20*$E$6)-$F$6)/$G$20)*$K$7)+($L$38*$E$17),IF(AND($G$20&gt;=$C$7,$G$20&lt;=$D$7),(((($G$20*$E$7)-$F$7)/$G$20)*$K$8)+($L$38*$E$17),IF(AND($G$20&gt;=$C$8,$G$20&lt;=$D$8),(((($G$20*$E$8)-$F$8)/$G$20)*$K$9)+($L$38*$E$17),IF(AND($G$20&gt;=$C$9,$G$20&lt;=$D$9),(((($G$20*$E$9)-$F$9)/$G$20)*$K$10)+($L$38*$E$17),IF($G$20&gt;=$C$10,(((($G$20*$E$10)-$F$10)/$G$20)*$K$11)+($L$38*$E$17))))))),IF(AND($G$20&gt;=$C$5,$G$20&lt;=$D$5),($E$5*$K$6),IF(AND($G$20&gt;=$C$6,$G$20&lt;=$D$6),(((($G$20*$E$6)-$F$6)/$G$20)*$K$7),IF(AND($G$20&gt;=$C$7,$G$20&lt;=$D$7),(((($G$20*$E$7)-$F$7)/$G$20)*$K$8),IF(AND($G$20&gt;=$C$8,$G$20&lt;=$D$8),(((($G$20*$E$8)-$F$8)/$G$20)*$K$9),IF(AND($G$20&gt;=$C$9,$G$20&lt;=$D$9),(((($G$20*$E$9)-$F$9)/$G$20)*$K$10),IF($G$20&gt;=$C$10,(((($G$20*$E$10)-$F$10)/$G$20)*$K$11)))))))))))</f>
        <v>0</v>
      </c>
      <c r="H35" s="131">
        <f>IF(G21-G22&gt;3600000+(3600000*0.2),H33,IF($C$35=0,0,IF($G$20=0,$E$5*$L$6,IF(IF(AND($G$20&gt;=$C$5,$G$20&lt;=$D$5),$E$5*$M$6,IF(AND($G$20&gt;=$C$6,$G$20&lt;=$D$6),((($G$20*$E$6)-$F$6)/$G$20)*$M$7,IF(AND($G$20&gt;=$C$7,$G$20&lt;=$D$7),((($G$20*$E$7)-$F$7)/$G$20)*$M$8,IF(AND($G$20&gt;=$C$8,$G$20&lt;=$D$8),((($G$20*$E$8)-$F$8)/$G$20)*$M$9,IF(AND($G$20&gt;=$C$9,$G$20&lt;=$D$9),((($G$20*$E$9)-$F$9)/$G$20)*$M$10,IF($G$20&gt;=$C$10,((($G$20*$E$9)-$F$9)/$G$20)*$M$10,IF(AND($G$21-$G$22)&gt;3600000,(((3600000*$E$9)-$F$9)/3600000)*$M$10)))))))&gt;5%,IF(AND($G$20&gt;=$C$5,$G$20&lt;=$D$5),($E$5*$L$6)+($L$38*$F$17),IF(AND($G$20&gt;=$C$6,$G$20&lt;=$D$6),(((($G$20*$E$6)-$F$6)/$G$20)*$L$7)+($L$38*$F$17),IF(AND($G$20&gt;=$C$7,$G$20&lt;=$D$7),(((($G$20*$E$7)-$F$7)/$G$20)*$L$8)+($L$38*$F$17),IF(AND($G$20&gt;=$C$8,$G$20&lt;=$D$8),(((($G$20*$E$8)-$F$8)/$G$20)*$L$9)+($L$38*$F$17),IF(AND($G$20&gt;=$C$9,$G$20&lt;=$D$9),(((($G$20*$E$9)-$F$9)/$G$20)*$L$10)+($L$38*$F$17),IF($G$20&gt;=$C$10,(((($G$20*$E$10)-$F$10)/$G$20)*$L$11)+($L$38*$F$17))))))),IF(AND($G$20&gt;=$C$5,$G$20&lt;=$D$5),($E$5*$L$6),IF(AND($G$20&gt;=$C$6,$G$20&lt;=$D$6),(((($G$20*$E$6)-$F$6)/$G$20)*$L$7),IF(AND($G$20&gt;=$C$7,$G$20&lt;=$D$7),(((($G$20*$E$7)-$F$7)/$G$20)*$L$8),IF(AND($G$20&gt;=$C$8,$G$20&lt;=$D$8),(((($G$20*$E$8)-$F$8)/$G$20)*$L$9),IF(AND($G$20&gt;=$C$9,$G$20&lt;=$D$9),(((($G$20*$E$9)-$F$9)/$G$20)*$L$10),IF($G$20&gt;=$C$10,(((($G$20*$E$10)-$F$10)/$G$20)*$L$11)))))))))))</f>
        <v>0</v>
      </c>
      <c r="I35" s="131">
        <f>IF(G21-G22&gt;3600000+(3600000*0.2),I33,IF($C$35=0,0,IF($G$20=0,$E$5*$N$6,IF(IF(AND($G$20&gt;=$C$5,$G$20&lt;=$D$5),$E$5*$M$6,IF(AND($G$20&gt;=$C$6,$G$20&lt;=$D$6),((($G$20*$E$6)-$F$6)/$G$20)*$M$7,IF(AND($G$20&gt;=$C$7,$G$20&lt;=$D$7),((($G$20*$E$7)-$F$7)/$G$20)*$M$8,IF(AND($G$20&gt;=$C$8,$G$20&lt;=$D$8),((($G$20*$E$8)-$F$8)/$G$20)*$M$9,IF(AND($G$20&gt;=$C$9,$G$20&lt;=$D$9),((($G$20*$E$9)-$F$9)/$G$20)*$M$10,IF($G$20&gt;=$C$10,((($G$20*$E$9)-$F$9)/$G$20)*$M$10,IF(AND($G$21-$G$22)&gt;3600000,(((3600000*$E$9)-$F$9)/3600000)*$M$10)))))))&gt;5%,IF(AND($G$20&gt;=$C$5,$G$20&lt;=$D$5),($E$5*$N$6)+($L$38*$G$17),IF(AND($G$20&gt;=$C$6,$G$20&lt;=$D$6),(((($G$20*$E$6)-$F$6)/$G$20)*$N$7)+($L$38*$G$17),IF(AND($G$20&gt;=$C$7,$G$20&lt;=$D$7),(((($G$20*$E$7)-$F$7)/$G$20)*$N$8)+($L$38*$G$17),IF(AND($G$20&gt;=$C$8,$G$20&lt;=$D$8),(((($G$20*$E$8)-$F$8)/$G$20)*$N$9)+($L$38*$G$17),IF(AND($G$20&gt;=$C$9,$G$20&lt;=$D$9),(((($G$20*$E$9)-$F$9)/$G$20)*$N$10)+($L$38*$G$17),IF($G$20&gt;=$C$10,(((($G$20*$E$10)-$F$10)/$G$20)*$N$11)+($L$38*$G$17))))))),IF(AND($G$20&gt;=$C$5,$G$20&lt;=$D$5),($E$5*$N$6),IF(AND($G$20&gt;=$C$6,$G$20&lt;=$D$6),(((($G$20*$E$6)-$F$6)/$G$20)*$N$7),IF(AND($G$20&gt;=$C$7,$G$20&lt;=$D$7),(((($G$20*$E$7)-$F$7)/$G$20)*$N$8),IF(AND($G$20&gt;=$C$8,$G$20&lt;=$D$8),(((($G$20*$E$8)-$F$8)/$G$20)*$N$9),IF(AND($G$20&gt;=$C$9,$G$20&lt;=$D$9),(((($G$20*$E$9)-$F$9)/$G$20)*$N$10),IF($G$20&gt;=$C$10,(((($G$20*$E$10)-$F$10)/$G$20)*$N$11)))))))))))</f>
        <v>0</v>
      </c>
      <c r="J35" s="56" t="s">
        <v>41</v>
      </c>
      <c r="K35" s="76"/>
      <c r="P35" s="55"/>
    </row>
    <row r="36" spans="2:17" x14ac:dyDescent="0.3">
      <c r="B36" s="123"/>
      <c r="C36" s="126"/>
      <c r="D36" s="129"/>
      <c r="E36" s="132"/>
      <c r="F36" s="132"/>
      <c r="G36" s="132"/>
      <c r="H36" s="132"/>
      <c r="I36" s="132"/>
      <c r="J36" s="31">
        <f>G22</f>
        <v>0</v>
      </c>
      <c r="K36" s="27" t="e">
        <f>J36/G22</f>
        <v>#DIV/0!</v>
      </c>
      <c r="L36" s="25" t="s">
        <v>61</v>
      </c>
      <c r="M36" s="25"/>
      <c r="N36" s="25"/>
      <c r="O36" s="25"/>
      <c r="P36" s="32"/>
      <c r="Q36" s="32"/>
    </row>
    <row r="37" spans="2:17" ht="23.15" x14ac:dyDescent="0.3">
      <c r="B37" s="123"/>
      <c r="C37" s="126"/>
      <c r="D37" s="129"/>
      <c r="E37" s="132"/>
      <c r="F37" s="132"/>
      <c r="G37" s="132"/>
      <c r="H37" s="132"/>
      <c r="I37" s="132"/>
      <c r="J37" s="56" t="s">
        <v>42</v>
      </c>
      <c r="K37" s="57" t="s">
        <v>62</v>
      </c>
      <c r="L37" s="57" t="s">
        <v>63</v>
      </c>
      <c r="M37" s="58" t="s">
        <v>8</v>
      </c>
      <c r="N37" s="58" t="s">
        <v>9</v>
      </c>
      <c r="O37" s="58" t="s">
        <v>38</v>
      </c>
      <c r="P37" s="58" t="s">
        <v>64</v>
      </c>
      <c r="Q37" s="58" t="s">
        <v>12</v>
      </c>
    </row>
    <row r="38" spans="2:17" x14ac:dyDescent="0.3">
      <c r="B38" s="123"/>
      <c r="C38" s="126"/>
      <c r="D38" s="129"/>
      <c r="E38" s="132"/>
      <c r="F38" s="132"/>
      <c r="G38" s="132"/>
      <c r="H38" s="132"/>
      <c r="I38" s="133"/>
      <c r="J38" s="42">
        <f>IF($C$35=0,0,IF(AND(IF(AND(($G$21-$G$22)&lt;3600000,G20&gt;3600000),((($G$20*$E$9)-$F$9)/$G$20)*$M$10,IF(AND(($G$21-$G$22)&gt;=3600000.01),0,IF(G20=0,$E$5*$M$6,IF($G$20=0,$E$5*$M$6,IF(AND($G$20&gt;=$C$5,$G$20&lt;=$D$5),$E$5*$M$6,IF(AND($G$20&gt;=$C$6,$G$20&lt;=$D$6),((($G$20*$E$6)-$F$6)/$G$20)*$M$7,IF(AND($G$20&gt;=$C$7,$G$20&lt;=$D$7),((($G$20*$E$7)-$F$7)/$G$20)*$M$8,IF(AND($G$20&gt;=$C$8,$G$20&lt;=$D$8),((($G$20*$E$8)-$F$8)/$G$20)*$M$9,IF(AND($G$20&gt;=$C$9,$G$20&lt;=$D$9),((($G$20*$E$9)-$F$9)/$G$20)*$M$10,IF($G$20&gt;=$C$10,((($G$20*$E$9)-$F$9)/$G$20)*$M$10))))))))))&gt;5%),5%,IF(($G$21-$G$22)&gt;=3600000.01,0,IF(AND($G$20&gt;=$C$5,$G$20&lt;=$D$5),$E$5*$M$6,IF(AND($G$20&gt;=$C$6,$G$20&lt;=$D$6),((($G$20*$E$6)-$F$6)/$G$20)*$M$7,IF(AND($G$20&gt;=$C$7,$G$20&lt;=$D$7),((($G$20*$E$7)-$F$7)/$G$20)*$M$8,IF(AND($G$20&gt;=$C$8,$G$20&lt;=$D$8),((($G$20*$E$8)-$F$8)/$G$20)*$M$9,IF(AND($G$20&gt;=$C$9,$G$20&lt;=$D$9),((($G$20*$E$9)-$F$9)/$G$20)*$M$10,IF($G$20&gt;=$C$10,((($G$20*$E$9)-$F$9)/$G$20)*$M$10)))))))))</f>
        <v>0</v>
      </c>
      <c r="K38" s="59">
        <f>IF($G$21-$G$22&gt;4320000,0,IF($C$35=0,0,IF(AND(($G$21-$G$22)&lt;3600000,G20&gt;3600000),(((($G$20*$E$9)-$F$9)/$G$20)*$M$10),IF(AND(($G$21-$G$22)&gt;=3600000.01),0,IF($G$20=0,$E$5*$M$6,IF(AND($G$20&gt;=$C$5,$G$20&lt;=$D$5),$E$5*$M$6,IF(AND($G$20&gt;=$C$6,$G$20&lt;=$D$6),((($G$20*$E$6)-$F$6)/$G$20)*$M$7,IF(AND($G$20&gt;=$C$7,$G$20&lt;=$D$7),((($G$20*$E$7)-$F$7)/$G$20)*$M$8,IF(AND($G$20&gt;=$C$8,$G$20&lt;=$D$8),((($G$20*$E$8)-$F$8)/$G$20)*$M$9,IF(AND($G$20&gt;=$C$9,$G$20&lt;=$D$9),((($G$20*$E$9)-$F$9)/$G$20)*$M$10,IF(AND($G$20&gt;=$C$10,$G$20&gt;=$D$10),((($G$20*$E$9)-$F$9)/$G$20)*$M$10)))))))))))</f>
        <v>0</v>
      </c>
      <c r="L38" s="40">
        <f>K38-J38</f>
        <v>0</v>
      </c>
      <c r="M38" s="40">
        <f>L38*C17</f>
        <v>0</v>
      </c>
      <c r="N38" s="40">
        <f>L38*D17</f>
        <v>0</v>
      </c>
      <c r="O38" s="40">
        <f>L38*E17</f>
        <v>0</v>
      </c>
      <c r="P38" s="40">
        <f>L38*F17</f>
        <v>0</v>
      </c>
      <c r="Q38" s="40">
        <f>L38*G17</f>
        <v>0</v>
      </c>
    </row>
    <row r="39" spans="2:17" x14ac:dyDescent="0.3">
      <c r="B39" s="84"/>
      <c r="C39" s="107"/>
      <c r="D39" s="84">
        <f>SUM(E39:J39)</f>
        <v>0</v>
      </c>
      <c r="E39" s="84">
        <f>$C$35*E35</f>
        <v>0</v>
      </c>
      <c r="F39" s="84">
        <f t="shared" ref="F39:I39" si="0">$C$35*F35</f>
        <v>0</v>
      </c>
      <c r="G39" s="84">
        <f t="shared" si="0"/>
        <v>0</v>
      </c>
      <c r="H39" s="84">
        <f t="shared" si="0"/>
        <v>0</v>
      </c>
      <c r="I39" s="84">
        <f t="shared" si="0"/>
        <v>0</v>
      </c>
      <c r="J39" s="84">
        <f>J36*J38</f>
        <v>0</v>
      </c>
      <c r="K39" s="60"/>
      <c r="L39" s="59"/>
      <c r="M39" s="61">
        <f>E33+M38</f>
        <v>0</v>
      </c>
      <c r="N39" s="61">
        <f>F33+N38</f>
        <v>0</v>
      </c>
      <c r="O39" s="61">
        <f>G33+O38</f>
        <v>0</v>
      </c>
      <c r="P39" s="61">
        <f>H33+P38</f>
        <v>0</v>
      </c>
      <c r="Q39" s="61">
        <f>I33+Q38</f>
        <v>0</v>
      </c>
    </row>
    <row r="40" spans="2:17" x14ac:dyDescent="0.3">
      <c r="B40" s="38"/>
      <c r="C40" s="104"/>
      <c r="D40" s="38"/>
      <c r="E40" s="38"/>
      <c r="F40" s="38"/>
      <c r="G40" s="38"/>
      <c r="H40" s="38"/>
      <c r="I40" s="38"/>
      <c r="J40" s="38"/>
      <c r="K40" s="110"/>
      <c r="L40" s="59"/>
      <c r="M40" s="61"/>
      <c r="N40" s="61"/>
      <c r="O40" s="61"/>
      <c r="P40" s="61"/>
      <c r="Q40" s="61"/>
    </row>
    <row r="41" spans="2:17" x14ac:dyDescent="0.3">
      <c r="B41" s="85" t="s">
        <v>43</v>
      </c>
      <c r="C41" s="85"/>
      <c r="D41" s="108"/>
      <c r="E41" s="108"/>
      <c r="F41" s="108"/>
      <c r="G41" s="108"/>
      <c r="H41" s="108"/>
      <c r="I41" s="108"/>
      <c r="J41" s="86"/>
    </row>
    <row r="42" spans="2:17" x14ac:dyDescent="0.3">
      <c r="B42" s="2"/>
      <c r="C42" s="2"/>
      <c r="D42" s="105"/>
      <c r="E42" s="105"/>
      <c r="F42" s="105"/>
      <c r="G42" s="105"/>
      <c r="H42" s="105"/>
      <c r="I42" s="105"/>
      <c r="J42" s="100"/>
    </row>
    <row r="43" spans="2:17" x14ac:dyDescent="0.3">
      <c r="B43" s="33"/>
      <c r="D43" s="35"/>
      <c r="E43" s="94" t="s">
        <v>8</v>
      </c>
      <c r="F43" s="94" t="s">
        <v>9</v>
      </c>
      <c r="G43" s="94" t="s">
        <v>38</v>
      </c>
      <c r="H43" s="94" t="s">
        <v>39</v>
      </c>
      <c r="I43" s="94" t="s">
        <v>12</v>
      </c>
      <c r="J43" s="94" t="s">
        <v>51</v>
      </c>
    </row>
    <row r="44" spans="2:17" ht="23.15" x14ac:dyDescent="0.3">
      <c r="B44" s="36" t="s">
        <v>44</v>
      </c>
      <c r="C44" s="37">
        <f>G28</f>
        <v>0</v>
      </c>
      <c r="D44" s="41">
        <f>SUM(E44:J44)</f>
        <v>0</v>
      </c>
      <c r="E44" s="42">
        <f>IF(G28=0,0,IF(AND($G$26&gt;=$C$5,$G$26&lt;=$D$5),($E$5*$I$6),IF(AND($G$26&gt;=$C$6,$G$26&lt;=$D$6),(((($G$26*$E$6)-$F$6)/$G$26)*$I$7),IF(AND($G$26&gt;=$C$7,$G$26&lt;=$D$7),(((($G$26*$E$7)-$F$7)/$G$26)*$I$8),IF(AND($G$26&gt;=$C$8,$G$26&lt;=$D$8),(((($G$26*$E$8)-$F$8)/$G$26)*$I$9),IF(AND($G$26&gt;=$C$9,$G$26&lt;=$D$9),(((($G$26*$E$9)-$F$9)/$G$26)*$I$10),IF($G$26&gt;=$C$10,(((($G$26*$E$10)-$F$10)/$G$26)*$I$11))))))))</f>
        <v>0</v>
      </c>
      <c r="F44" s="42">
        <f>IF(G28=0,0,IF(AND($G$26&gt;=$C$5,$G$26&lt;=$D$5),($E$5*$J$6),IF(AND($G$26&gt;=$C$6,$G$26&lt;=$D$6),(((($G$26*$E$6)-$F$6)/$G$26)*$J$7),IF(AND($G$26&gt;=$C$7,$G$26&lt;=$D$7),(((($G$26*$E$7)-$F$7)/$G$26)*$J$8),IF(AND($G$26&gt;=$C$8,$G$26&lt;=$D$8),(((($G$26*$E$8)-$F$8)/$G$26)*$J$9),IF(AND($G$26&gt;=$C$9,$G$26&lt;=$D$9),(((($G$26*$E$9)-$F$9)/$G$26)*$J$10),IF($G$26&gt;=$C$10,(((($G$26*$E$10)-$F$10)/$G$26)*$J$11))))))))</f>
        <v>0</v>
      </c>
      <c r="G44" s="42">
        <f>IF($G$28&gt;=0,0)</f>
        <v>0</v>
      </c>
      <c r="H44" s="42">
        <f>IF($G$28&gt;=0,0)</f>
        <v>0</v>
      </c>
      <c r="I44" s="42">
        <f>IF(G28=0,0,IF(AND($G$26&gt;=$C$5,$G$26&lt;=$D$5),($E$5*$N$6),IF(AND($G$26&gt;=$C$6,$G$26&lt;=$D$6),(((($G$26*$E$6)-$F$6)/$G$26)*$N$7),IF(AND($G$26&gt;=$C$7,$G$26&lt;=$D$7),(((($G$26*$E$7)-$F$7)/$G$26)*$N$8),IF(AND($G$26&gt;=$C$8,$G$26&lt;=$D$8),(((($G$26*$E$8)-$F$8)/$G$26)*$N$9),IF(AND($G$26&gt;=$C$9,$G$26&lt;=$D$9),(((($G$26*$E$9)-$F$9)/$G$26)*$N$10),IF($G$26&gt;=$C$10,(((($G$26*$E$10)-$F$10)/$G$26)*$N$11))))))))</f>
        <v>0</v>
      </c>
      <c r="J44" s="42">
        <f>IF($G$28&gt;=0,0)</f>
        <v>0</v>
      </c>
    </row>
    <row r="45" spans="2:17" x14ac:dyDescent="0.3">
      <c r="B45" s="96"/>
      <c r="C45" s="94"/>
      <c r="D45" s="84">
        <f>SUM(E45:J45)</f>
        <v>0</v>
      </c>
      <c r="E45" s="84">
        <f>$C$44*E44</f>
        <v>0</v>
      </c>
      <c r="F45" s="84">
        <f t="shared" ref="F45:J45" si="1">$C$44*F44</f>
        <v>0</v>
      </c>
      <c r="G45" s="84">
        <f t="shared" si="1"/>
        <v>0</v>
      </c>
      <c r="H45" s="84">
        <f t="shared" si="1"/>
        <v>0</v>
      </c>
      <c r="I45" s="84">
        <f t="shared" si="1"/>
        <v>0</v>
      </c>
      <c r="J45" s="84">
        <f t="shared" si="1"/>
        <v>0</v>
      </c>
    </row>
    <row r="46" spans="2:17" x14ac:dyDescent="0.3">
      <c r="B46" s="33"/>
      <c r="D46" s="35"/>
      <c r="E46" s="35"/>
      <c r="F46" s="35"/>
      <c r="G46" s="35"/>
      <c r="H46" s="35"/>
      <c r="I46" s="35"/>
      <c r="J46" s="35"/>
    </row>
    <row r="47" spans="2:17" x14ac:dyDescent="0.3">
      <c r="B47" s="82" t="s">
        <v>37</v>
      </c>
      <c r="C47" s="83">
        <f>C35+C44</f>
        <v>0</v>
      </c>
      <c r="D47" s="84">
        <f>D39+D45</f>
        <v>0</v>
      </c>
      <c r="E47" s="84">
        <f t="shared" ref="E47:J47" si="2">E39+E45</f>
        <v>0</v>
      </c>
      <c r="F47" s="84">
        <f t="shared" si="2"/>
        <v>0</v>
      </c>
      <c r="G47" s="84">
        <f t="shared" si="2"/>
        <v>0</v>
      </c>
      <c r="H47" s="84">
        <f t="shared" si="2"/>
        <v>0</v>
      </c>
      <c r="I47" s="84">
        <f t="shared" si="2"/>
        <v>0</v>
      </c>
      <c r="J47" s="84">
        <f t="shared" si="2"/>
        <v>0</v>
      </c>
    </row>
    <row r="48" spans="2:17" x14ac:dyDescent="0.3">
      <c r="D48" s="62"/>
      <c r="E48" s="62"/>
      <c r="F48" s="62"/>
      <c r="G48" s="62"/>
      <c r="H48" s="62"/>
      <c r="I48" s="62"/>
      <c r="J48" s="62"/>
    </row>
    <row r="49" spans="2:10" ht="18" customHeight="1" x14ac:dyDescent="0.3">
      <c r="B49" s="39"/>
      <c r="C49" s="63"/>
      <c r="D49" s="64"/>
      <c r="E49" s="64"/>
      <c r="F49" s="64"/>
      <c r="G49" s="64"/>
      <c r="H49" s="64"/>
      <c r="I49" s="64"/>
      <c r="J49" s="64"/>
    </row>
  </sheetData>
  <mergeCells count="17">
    <mergeCell ref="B2:E2"/>
    <mergeCell ref="B3:E3"/>
    <mergeCell ref="B4:D4"/>
    <mergeCell ref="H4:H5"/>
    <mergeCell ref="I35:I38"/>
    <mergeCell ref="B13:H13"/>
    <mergeCell ref="I4:N4"/>
    <mergeCell ref="E35:E38"/>
    <mergeCell ref="F35:F38"/>
    <mergeCell ref="G35:G38"/>
    <mergeCell ref="H35:H38"/>
    <mergeCell ref="B14:H14"/>
    <mergeCell ref="B15:H15"/>
    <mergeCell ref="B16:B17"/>
    <mergeCell ref="B35:B38"/>
    <mergeCell ref="C35:C38"/>
    <mergeCell ref="D35:D38"/>
  </mergeCells>
  <conditionalFormatting sqref="H20">
    <cfRule type="cellIs" dxfId="0" priority="2" operator="greaterThan">
      <formula>0.2799</formula>
    </cfRule>
    <cfRule type="cellIs" dxfId="1" priority="1" operator="lessThan">
      <formula>0.28</formula>
    </cfRule>
  </conditionalFormatting>
  <dataValidations disablePrompts="1" count="1">
    <dataValidation type="list" allowBlank="1" showInputMessage="1" showErrorMessage="1" sqref="I31 J32" xr:uid="{3605DAB3-5149-4B96-8093-68405C886AFF}">
      <formula1>#REF!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ANEXO I - ICMS ST</vt:lpstr>
      <vt:lpstr>ANEXO II</vt:lpstr>
      <vt:lpstr>ANEXO III</vt:lpstr>
      <vt:lpstr>ANEXO IV</vt:lpstr>
      <vt:lpstr>ANEXO 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Trevisan</dc:creator>
  <cp:lastModifiedBy>Luana Trevisan</cp:lastModifiedBy>
  <dcterms:created xsi:type="dcterms:W3CDTF">2018-06-03T18:14:32Z</dcterms:created>
  <dcterms:modified xsi:type="dcterms:W3CDTF">2023-09-10T18:56:04Z</dcterms:modified>
</cp:coreProperties>
</file>